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C:\Users\User\Desktop\GINOP FVV\Farkas Sándor Mihály\vÜT\"/>
    </mc:Choice>
  </mc:AlternateContent>
  <xr:revisionPtr revIDLastSave="0" documentId="8_{6EAF0706-EA54-439A-A7B7-1A27EDFC2E5E}" xr6:coauthVersionLast="31" xr6:coauthVersionMax="31" xr10:uidLastSave="{00000000-0000-0000-0000-000000000000}"/>
  <bookViews>
    <workbookView xWindow="0" yWindow="0" windowWidth="20490" windowHeight="6945" tabRatio="1000" firstSheet="11"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iterateDelta="1E-4"/>
</workbook>
</file>

<file path=xl/calcChain.xml><?xml version="1.0" encoding="utf-8"?>
<calcChain xmlns="http://schemas.openxmlformats.org/spreadsheetml/2006/main">
  <c r="G385" i="34" l="1"/>
  <c r="G378" i="34"/>
  <c r="G370" i="34"/>
  <c r="G361" i="34"/>
  <c r="H28" i="34" s="1"/>
  <c r="M14" i="34" s="1"/>
  <c r="N14" i="34" s="1"/>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B30" i="34" s="1"/>
  <c r="G28" i="34"/>
  <c r="P9" i="34"/>
  <c r="S8" i="34"/>
  <c r="S9" i="34" s="1"/>
  <c r="P8" i="34"/>
  <c r="M8" i="34"/>
  <c r="M9" i="34" s="1"/>
  <c r="C7" i="34"/>
  <c r="Q6" i="34"/>
  <c r="C6" i="34"/>
  <c r="T5" i="34"/>
  <c r="C5" i="34"/>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I28" i="33"/>
  <c r="I24" i="33" s="1"/>
  <c r="F28" i="33"/>
  <c r="H24" i="33"/>
  <c r="M14" i="33" s="1"/>
  <c r="N14" i="33" s="1"/>
  <c r="G24" i="33"/>
  <c r="Q10" i="33"/>
  <c r="Q11" i="33" s="1"/>
  <c r="S9" i="33"/>
  <c r="P9" i="33"/>
  <c r="M9" i="33"/>
  <c r="S8" i="33"/>
  <c r="P8" i="33"/>
  <c r="M8" i="33"/>
  <c r="N7" i="33"/>
  <c r="C7" i="33"/>
  <c r="Q6" i="33"/>
  <c r="N6" i="33"/>
  <c r="C6" i="33"/>
  <c r="T5" i="33"/>
  <c r="Q5" i="33"/>
  <c r="N5" i="33"/>
  <c r="C5" i="33"/>
  <c r="T4" i="33"/>
  <c r="Q4" i="33"/>
  <c r="N4" i="33"/>
  <c r="N10" i="33" s="1"/>
  <c r="N11" i="33" s="1"/>
  <c r="I344" i="32"/>
  <c r="F344" i="32"/>
  <c r="I343" i="32"/>
  <c r="I323" i="32"/>
  <c r="T6" i="32" s="1"/>
  <c r="T10" i="32" s="1"/>
  <c r="T11" i="32" s="1"/>
  <c r="I302" i="32"/>
  <c r="E281" i="32"/>
  <c r="E280" i="32"/>
  <c r="E279" i="32"/>
  <c r="E278" i="32"/>
  <c r="E277" i="32"/>
  <c r="I240" i="32"/>
  <c r="I228" i="32"/>
  <c r="I172" i="32"/>
  <c r="Q4" i="32" s="1"/>
  <c r="Q10" i="32" s="1"/>
  <c r="Q11" i="32" s="1"/>
  <c r="I142" i="32"/>
  <c r="E129" i="32"/>
  <c r="E128" i="32"/>
  <c r="E127" i="32"/>
  <c r="I84" i="32"/>
  <c r="I83" i="32"/>
  <c r="I48" i="32"/>
  <c r="N5" i="32" s="1"/>
  <c r="I28" i="32"/>
  <c r="F28" i="32"/>
  <c r="H24" i="32"/>
  <c r="M14" i="32" s="1"/>
  <c r="N14" i="32" s="1"/>
  <c r="G24" i="32"/>
  <c r="S9" i="32"/>
  <c r="P9" i="32"/>
  <c r="S8" i="32"/>
  <c r="P8" i="32"/>
  <c r="M8" i="32"/>
  <c r="M9" i="32" s="1"/>
  <c r="N7" i="32"/>
  <c r="C7" i="32"/>
  <c r="Q6" i="32"/>
  <c r="N6" i="32"/>
  <c r="C6" i="32"/>
  <c r="T5" i="32"/>
  <c r="Q5" i="32"/>
  <c r="C5" i="32"/>
  <c r="T4" i="32"/>
  <c r="N4" i="32"/>
  <c r="N10" i="32" s="1"/>
  <c r="N11" i="32" s="1"/>
  <c r="M12" i="32" l="1"/>
  <c r="N12" i="32" s="1"/>
  <c r="T11" i="34"/>
  <c r="N4" i="34"/>
  <c r="N10" i="34" s="1"/>
  <c r="N11" i="34" s="1"/>
  <c r="H29" i="34"/>
  <c r="M12" i="33"/>
  <c r="I24" i="32"/>
  <c r="H12" i="32" s="1"/>
  <c r="D16" i="32" s="1"/>
  <c r="E12" i="32" l="1"/>
  <c r="M12" i="34"/>
  <c r="D16" i="33"/>
  <c r="E12" i="33"/>
  <c r="H12" i="33"/>
  <c r="N12" i="33"/>
  <c r="H12" i="34" l="1"/>
  <c r="E12" i="34"/>
  <c r="D16" i="34"/>
  <c r="N12" i="34"/>
  <c r="C34" i="12"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C70" i="13" s="1"/>
  <c r="L12" i="13"/>
  <c r="A78" i="25"/>
  <c r="C77" i="25" s="1"/>
  <c r="B77" i="25"/>
  <c r="A76" i="25"/>
  <c r="C75" i="25" s="1"/>
  <c r="D12" i="25"/>
  <c r="C12" i="25"/>
  <c r="F24" i="15"/>
  <c r="F18" i="15"/>
  <c r="F14" i="15"/>
  <c r="F70" i="28" l="1"/>
  <c r="J70" i="28"/>
  <c r="N70" i="28"/>
  <c r="D71" i="25"/>
  <c r="F3" i="31"/>
  <c r="D70" i="28"/>
  <c r="H70" i="28"/>
  <c r="L70" i="28"/>
  <c r="E15" i="13"/>
  <c r="E70" i="13"/>
  <c r="D70" i="13"/>
  <c r="D15" i="13"/>
  <c r="N70" i="13"/>
  <c r="L70" i="13"/>
  <c r="J70" i="13"/>
  <c r="H70" i="13"/>
  <c r="F70" i="13"/>
  <c r="C70" i="28"/>
  <c r="E70" i="28"/>
  <c r="G70" i="28"/>
  <c r="I70" i="28"/>
  <c r="K70" i="28"/>
  <c r="M70" i="28"/>
  <c r="M70" i="13"/>
  <c r="K70" i="13"/>
  <c r="I70" i="13"/>
  <c r="G70" i="13"/>
  <c r="G22" i="31"/>
  <c r="E22" i="31"/>
  <c r="G20" i="31"/>
  <c r="E20" i="31"/>
  <c r="G30" i="31"/>
  <c r="G21" i="31"/>
  <c r="E21" i="31"/>
  <c r="E19" i="31"/>
  <c r="G19" i="31"/>
  <c r="M19" i="31" s="1"/>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C68" i="28" s="1"/>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N69" i="13"/>
  <c r="F69" i="13"/>
  <c r="J12" i="13"/>
  <c r="I69" i="13"/>
  <c r="M12" i="13"/>
  <c r="E12" i="13"/>
  <c r="E69" i="13"/>
  <c r="D15" i="25"/>
  <c r="D16" i="25" s="1"/>
  <c r="G16" i="28"/>
  <c r="G68" i="28"/>
  <c r="O17" i="28"/>
  <c r="F9" i="31" s="1"/>
  <c r="F27" i="31" s="1"/>
  <c r="F32" i="31" s="1"/>
  <c r="C16" i="13" l="1"/>
  <c r="O15" i="13"/>
  <c r="L16" i="28"/>
  <c r="M21" i="31"/>
  <c r="G26" i="31"/>
  <c r="E26" i="31"/>
  <c r="N23" i="31"/>
  <c r="Q10" i="31"/>
  <c r="K10" i="31" s="1"/>
  <c r="N9" i="31"/>
  <c r="K9" i="31" s="1"/>
  <c r="N19" i="31"/>
  <c r="K19" i="31" s="1"/>
  <c r="N21" i="31"/>
  <c r="K21" i="31" s="1"/>
  <c r="N16" i="31"/>
  <c r="K16"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5" i="31"/>
  <c r="E15" i="31"/>
  <c r="E14" i="31"/>
  <c r="G14" i="31"/>
  <c r="E11" i="31"/>
  <c r="G11" i="31"/>
  <c r="E12" i="31"/>
  <c r="G12" i="31"/>
  <c r="D21" i="15"/>
  <c r="D25" i="15" s="1"/>
  <c r="D27" i="15" s="1"/>
  <c r="E21" i="15"/>
  <c r="E25" i="15" s="1"/>
  <c r="E27" i="15" s="1"/>
  <c r="O45" i="13"/>
  <c r="G5" i="31" s="1"/>
  <c r="O69" i="13"/>
  <c r="O70" i="13"/>
  <c r="G21" i="15"/>
  <c r="G25" i="15" s="1"/>
  <c r="G27" i="15" s="1"/>
  <c r="O12" i="13"/>
  <c r="G27" i="31" l="1"/>
  <c r="G32" i="31" s="1"/>
  <c r="O16" i="31" s="1"/>
  <c r="I16" i="31" s="1"/>
  <c r="I11" i="31"/>
  <c r="P10" i="31"/>
  <c r="M9" i="31"/>
  <c r="I12" i="31"/>
  <c r="E27" i="31"/>
  <c r="E32" i="31" s="1"/>
  <c r="C3" i="4"/>
  <c r="D3" i="4" s="1"/>
  <c r="C3" i="3"/>
  <c r="D3" i="3" s="1"/>
  <c r="R10" i="31" l="1"/>
  <c r="I10" i="31" s="1"/>
  <c r="O19" i="31"/>
  <c r="I19" i="31" s="1"/>
  <c r="O21" i="31"/>
  <c r="I21" i="31" s="1"/>
  <c r="O9" i="31"/>
  <c r="I9" i="31" s="1"/>
  <c r="K68" i="13"/>
  <c r="I68" i="13"/>
  <c r="I16" i="13"/>
  <c r="G2" i="3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<sst xmlns="http://schemas.openxmlformats.org/spreadsheetml/2006/main" count="2785" uniqueCount="1011">
  <si>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</si>
  <si>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</si>
  <si>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</si>
  <si>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</si>
  <si>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</si>
  <si>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</si>
  <si>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</si>
  <si>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</si>
  <si>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</si>
  <si>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</si>
  <si>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</si>
  <si>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</si>
  <si>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</si>
  <si>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</si>
  <si>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</si>
  <si>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</si>
  <si>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</si>
  <si>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</si>
  <si>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</si>
  <si>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</si>
  <si>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</si>
  <si>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</si>
  <si>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</si>
  <si>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</si>
  <si>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</si>
  <si>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</si>
  <si>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</si>
  <si>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</si>
  <si>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</si>
  <si>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</si>
  <si>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</si>
  <si>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</si>
  <si>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</si>
  <si>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</si>
  <si>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</si>
  <si>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</si>
  <si>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</si>
  <si>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</si>
  <si>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</si>
  <si>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</si>
  <si>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</si>
  <si>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</si>
  <si>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</si>
  <si>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</si>
  <si>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</si>
  <si>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</si>
  <si>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</si>
  <si>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</si>
  <si>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</si>
  <si>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</si>
  <si>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</si>
  <si>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</si>
  <si>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</si>
  <si>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</si>
  <si>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</si>
  <si>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</si>
  <si>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</si>
  <si>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</si>
  <si>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</si>
  <si>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</si>
  <si>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</si>
  <si>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</si>
  <si>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</si>
  <si>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</si>
  <si>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</si>
  <si>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</si>
  <si>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</si>
  <si>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</si>
  <si>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</si>
  <si>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</si>
  <si>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</si>
  <si>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</si>
  <si>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</si>
  <si>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</si>
  <si>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</si>
  <si>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</si>
  <si>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</si>
  <si>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</si>
  <si>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</si>
  <si>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</si>
  <si>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</si>
  <si>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</si>
  <si>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</si>
  <si>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</si>
  <si>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</si>
  <si>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</si>
  <si>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</si>
  <si>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</si>
  <si>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</si>
  <si>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</si>
  <si>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</si>
  <si>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</si>
  <si>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</si>
  <si>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</si>
  <si>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</si>
  <si>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</si>
  <si>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</si>
  <si>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</si>
  <si>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</si>
  <si>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</si>
  <si>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</si>
  <si>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</si>
  <si>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</si>
  <si>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</si>
  <si>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</si>
  <si>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</si>
  <si>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</si>
  <si>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</si>
  <si>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</si>
  <si>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</si>
  <si>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</si>
  <si>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</si>
  <si>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</si>
  <si>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</si>
  <si>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</si>
  <si>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</si>
  <si>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</si>
  <si>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</si>
  <si>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</si>
  <si>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</si>
  <si>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</si>
  <si>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</si>
  <si>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</si>
  <si>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</si>
  <si>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</si>
  <si>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</si>
  <si>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</si>
  <si>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</si>
  <si>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</si>
  <si>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</si>
  <si>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</si>
  <si>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</si>
  <si>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</si>
  <si>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</si>
  <si>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</si>
  <si>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</si>
  <si>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</si>
  <si>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</si>
  <si>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</si>
  <si>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</si>
  <si>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</si>
  <si>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</si>
  <si>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</si>
  <si>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</si>
  <si>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</si>
  <si>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</si>
  <si>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</si>
  <si>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</si>
  <si>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</si>
  <si>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</si>
  <si>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</si>
  <si>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</si>
  <si>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</si>
  <si>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</si>
  <si>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</si>
  <si>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</si>
  <si>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</si>
  <si>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</si>
  <si>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</si>
  <si>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</si>
  <si>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</si>
  <si>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</si>
  <si>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</si>
  <si>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</si>
  <si>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</si>
  <si>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</si>
  <si>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</si>
  <si>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</si>
  <si>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</si>
  <si>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</si>
  <si>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</si>
  <si>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</si>
  <si>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</si>
  <si>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</si>
  <si>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</si>
  <si>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</si>
  <si>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</si>
  <si>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</si>
  <si>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</si>
  <si>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</si>
  <si>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</si>
  <si>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</si>
  <si>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</si>
  <si>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</si>
  <si>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</si>
  <si>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</si>
  <si>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</si>
  <si>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</si>
  <si>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</si>
  <si>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</si>
  <si>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</si>
  <si>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</si>
  <si>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</si>
  <si>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</si>
  <si>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</si>
  <si>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</si>
  <si>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</si>
  <si>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</si>
  <si>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</si>
  <si>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</si>
  <si>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</si>
  <si>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</si>
  <si>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</si>
  <si>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</si>
  <si>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</si>
  <si>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</si>
  <si>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</si>
  <si>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</si>
  <si>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</si>
  <si>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</si>
  <si>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</si>
  <si>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</si>
  <si>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</si>
  <si>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</si>
  <si>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</si>
  <si>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</si>
  <si>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</si>
  <si>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</si>
  <si>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</si>
  <si>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</si>
  <si>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</si>
  <si>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</si>
  <si>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</si>
  <si>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</si>
  <si>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</si>
  <si>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</si>
  <si>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</si>
  <si>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</si>
  <si>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</si>
  <si>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</si>
  <si>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</si>
  <si>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</si>
  <si>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</si>
  <si>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</si>
  <si>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</si>
  <si>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</si>
  <si>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</si>
  <si>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</si>
  <si>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</si>
  <si>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</si>
  <si>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</si>
  <si>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</si>
  <si>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</si>
  <si>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</si>
  <si>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</si>
  <si>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</si>
  <si>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</si>
  <si>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</si>
  <si>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</si>
  <si>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</si>
  <si>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</si>
  <si>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</si>
  <si>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</si>
  <si>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</si>
  <si>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</si>
  <si>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</si>
  <si>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</si>
  <si>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</si>
  <si>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</si>
  <si>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</si>
  <si>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</si>
  <si>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</si>
  <si>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</si>
  <si>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</si>
  <si>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</si>
  <si>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</si>
  <si>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</si>
  <si>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</si>
  <si>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</si>
  <si>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</si>
  <si>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</si>
  <si>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</si>
  <si>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</si>
  <si>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</si>
  <si>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</si>
  <si>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</si>
  <si>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</si>
  <si>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</si>
  <si>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</si>
  <si>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</si>
  <si>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</si>
  <si>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</si>
  <si>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</si>
  <si>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</si>
  <si>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</si>
  <si>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</si>
  <si>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</si>
  <si>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</si>
  <si>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</si>
  <si>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</si>
  <si>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</si>
  <si>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</si>
  <si>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</si>
  <si>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</si>
  <si>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</si>
  <si>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</si>
  <si>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</si>
  <si>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</si>
  <si>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</si>
  <si>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</si>
  <si>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</si>
  <si>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</si>
  <si>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</si>
  <si>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</si>
  <si>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</si>
  <si>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</si>
  <si>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</si>
  <si>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</si>
  <si>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</si>
  <si>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</si>
  <si>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</si>
  <si>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</si>
  <si>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</si>
  <si>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</si>
  <si>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</si>
  <si>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</si>
  <si>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</si>
  <si>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</si>
  <si>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</si>
  <si>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</si>
  <si>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</si>
  <si>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</si>
  <si>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</si>
  <si>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</si>
  <si>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</si>
  <si>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</si>
  <si>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</si>
  <si>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</si>
  <si>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</si>
  <si>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</si>
  <si>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</si>
  <si>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</si>
  <si>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</si>
  <si>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</si>
  <si>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</si>
  <si>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</si>
  <si>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</si>
  <si>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</si>
  <si>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</si>
  <si>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</si>
  <si>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</si>
  <si>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</si>
  <si>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</si>
  <si>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</si>
  <si>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</si>
  <si>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</si>
  <si>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</si>
  <si>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</si>
  <si>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</si>
  <si>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</si>
  <si>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</si>
  <si>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</si>
  <si>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</si>
  <si>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</si>
  <si>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</si>
  <si>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</si>
  <si>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</si>
  <si>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</si>
  <si>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</si>
  <si>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</si>
  <si>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</si>
  <si>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</si>
  <si>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</si>
  <si>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</si>
  <si>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</si>
  <si>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</si>
  <si>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</si>
  <si>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</si>
  <si>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</si>
  <si>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</si>
  <si>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</si>
  <si>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</si>
  <si>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</si>
  <si>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</si>
  <si>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</si>
  <si>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</si>
  <si>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</si>
  <si>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</si>
  <si>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</si>
  <si>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</si>
  <si>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</si>
  <si>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</si>
  <si>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</si>
  <si>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</si>
  <si>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</si>
  <si>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</si>
  <si>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</si>
  <si>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</si>
  <si>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</si>
  <si>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</si>
  <si>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</si>
  <si>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</si>
  <si>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</si>
  <si>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</si>
  <si>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</si>
  <si>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</si>
  <si>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</si>
  <si>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</si>
  <si>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</si>
  <si>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</si>
  <si>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</si>
  <si>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</si>
  <si>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</si>
  <si>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</si>
  <si>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</si>
  <si>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</si>
  <si>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</si>
  <si>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</si>
  <si>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</si>
  <si>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</si>
  <si>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</si>
  <si>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</si>
  <si>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</si>
  <si>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</si>
  <si>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</si>
  <si>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</si>
  <si>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</si>
  <si>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</si>
  <si>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</si>
  <si>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</si>
  <si>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</si>
  <si>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</si>
  <si>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</si>
  <si>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</si>
  <si>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</si>
  <si>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</si>
  <si>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</si>
  <si>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</si>
  <si>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</si>
  <si>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</si>
  <si>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</si>
  <si>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</si>
  <si>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</si>
  <si>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</si>
  <si>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</si>
  <si>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</si>
  <si>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</si>
  <si>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</si>
  <si>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</si>
  <si>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</si>
  <si>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</si>
  <si>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</si>
  <si>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</si>
  <si>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</si>
  <si>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</si>
  <si>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</si>
  <si>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</si>
  <si>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</si>
  <si>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</si>
  <si>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</si>
  <si>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</si>
  <si>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</si>
  <si>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</si>
  <si>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</si>
  <si>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</si>
  <si>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</si>
  <si>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</si>
  <si>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</si>
  <si>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</si>
  <si>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</si>
  <si>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</si>
  <si>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</si>
  <si>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</si>
  <si>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</si>
  <si>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</si>
  <si>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</si>
  <si>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</si>
  <si>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</si>
  <si>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</si>
  <si>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</si>
  <si>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</si>
  <si>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</si>
  <si>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</si>
  <si>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</si>
  <si>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</si>
  <si>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</si>
  <si>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</si>
  <si>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</si>
  <si>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</si>
  <si>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</si>
  <si>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</si>
  <si>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</si>
  <si>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</si>
  <si>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</si>
  <si>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</si>
  <si>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</si>
  <si>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</si>
  <si>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</si>
  <si>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</si>
  <si>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</si>
  <si>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</si>
  <si>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</si>
  <si>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</si>
  <si>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</si>
  <si>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</si>
  <si>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</si>
  <si>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</si>
  <si>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</si>
  <si>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</si>
  <si>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</si>
  <si>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</si>
  <si>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</si>
  <si>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</si>
  <si>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</si>
  <si>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</si>
  <si>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</si>
  <si>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</si>
  <si>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</si>
  <si>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</si>
  <si>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</si>
  <si>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</si>
  <si>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</si>
  <si>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</si>
  <si>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</si>
  <si>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</si>
  <si>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</si>
  <si>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</si>
  <si>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</si>
  <si>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</si>
  <si>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</si>
  <si>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</si>
  <si>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</si>
  <si>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</si>
  <si>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</si>
  <si>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</si>
  <si>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</si>
  <si>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</si>
  <si>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</si>
  <si>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</si>
  <si>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</si>
  <si>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</si>
  <si>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</si>
  <si>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</si>
  <si>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</si>
  <si>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</si>
  <si>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</si>
  <si>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</si>
  <si>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</si>
  <si>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</si>
  <si>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</si>
  <si>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</si>
  <si>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</si>
  <si>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</si>
  <si>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</si>
  <si>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</si>
  <si>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</si>
  <si>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</si>
  <si>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</si>
  <si>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</si>
  <si>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</si>
  <si>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</si>
  <si>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</si>
  <si>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</si>
  <si>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</si>
  <si>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</si>
  <si>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</si>
  <si>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</si>
  <si>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</si>
  <si>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</si>
  <si>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</si>
  <si>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</si>
  <si>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</si>
  <si>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</si>
  <si>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</si>
  <si>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</si>
  <si>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</si>
  <si>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</si>
  <si>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</si>
  <si>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</si>
  <si>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</si>
  <si>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</si>
  <si>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</si>
  <si>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</si>
  <si>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</si>
  <si>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</si>
  <si>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</si>
  <si>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</si>
  <si>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</si>
  <si>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</si>
  <si>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</si>
  <si>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</si>
  <si>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</si>
  <si>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</si>
  <si>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</si>
  <si>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</si>
  <si>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</si>
  <si>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</si>
  <si>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</si>
  <si>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</si>
  <si>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</si>
  <si>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</si>
  <si>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</si>
  <si>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</si>
  <si>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</si>
  <si>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</si>
  <si>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</si>
  <si>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</si>
  <si>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</si>
  <si>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</si>
  <si>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</si>
  <si>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</si>
  <si>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</si>
  <si>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</si>
  <si>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</si>
  <si>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</si>
  <si>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</si>
  <si>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</si>
  <si>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</si>
  <si>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</si>
  <si>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</si>
  <si>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</si>
  <si>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</si>
  <si>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</si>
  <si>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08.</t>
  </si>
  <si>
    <t>01.</t>
  </si>
  <si>
    <t>02.</t>
  </si>
  <si>
    <t>03.</t>
  </si>
  <si>
    <t>04.</t>
  </si>
  <si>
    <t>2021.</t>
  </si>
  <si>
    <t>váráslás</t>
  </si>
  <si>
    <t>vásárlás</t>
  </si>
  <si>
    <t>Megalapítandó vállalkozásomra nem vonatkozik.</t>
  </si>
  <si>
    <t>ügyvezető</t>
  </si>
  <si>
    <t>főállás</t>
  </si>
  <si>
    <t>Vállalkozás megalapítása</t>
  </si>
  <si>
    <t>Szükséges eszközök beszerzése</t>
  </si>
  <si>
    <t>Munkabér kifizetése</t>
  </si>
  <si>
    <t>Szolgáltatások értékesítése</t>
  </si>
  <si>
    <t>Támogatási előleg igénylése</t>
  </si>
  <si>
    <t>webáruház</t>
  </si>
  <si>
    <t>Készítette (név): Farkas Sándor Mihály</t>
  </si>
  <si>
    <t>Személyigazolvány száma: 978857SA</t>
  </si>
  <si>
    <t>Farkas Sándor Mihály EV</t>
  </si>
  <si>
    <t>3100 Salgótarján Határ út 9</t>
  </si>
  <si>
    <t>3300 Eger Lenkei János utca 4-6 tetőtér 5.</t>
  </si>
  <si>
    <t>Farkas Sándor Mihály</t>
  </si>
  <si>
    <t>fssandor94@gmail.com</t>
  </si>
  <si>
    <t xml:space="preserve">Az iskola elvégzése után a gyakorlatban is dolgoztam grafikusként, így szakmai tapasztalattal is rendelkezem. A rendezvényszervező cégnél töltött idő alatt jó probléma megoldó képességre tettem szert, ami segítheti a vállalkozásomat. </t>
  </si>
  <si>
    <t xml:space="preserve">Munkám során több alkalommal is készítettem arculatokat, nyomdai anyagokat és weboldalakat, így már van tapasztalatom benne milyen a megrendelőkkel egyeztetni és kapcsolatot tartani. </t>
  </si>
  <si>
    <t>Rövidtáv: A piacra való sikeres bejutás után 1 éves célom olyan kapcsolatok kiépítése nyomdákkal és más cégekkel, hogy az én előrejutásomat segítse elő. 3 éves terv, hogy nemzetközi munkákat is el tudjak vállalni, az üzleti kapcsolatok segítségével.</t>
  </si>
  <si>
    <t>Mivel már több területen is szereztem szakmai tapasztalatot így nagyobb rálátásom van a különböző folyamatokra. A szervezőképesség mellett a kapcsolattartásban is van tapasztalatom. Az önkéntes munka vállalásával több feladat elkészítése rövid határidővel segített abban, hogy megtanuljam milyen minőségi munkát készíteni nagy nyomás alatt.</t>
  </si>
  <si>
    <t>Internet</t>
  </si>
  <si>
    <t>Irodahelység</t>
  </si>
  <si>
    <t>Telephely működtetése</t>
  </si>
  <si>
    <t>bérlés</t>
  </si>
  <si>
    <t>A megrendelők szeretik, ha amit várnak gyorsan és jó minőségben érkezik meg hozzájuk. A vállalkozásom fő célja, hogy ezt ki tudjam elégíteni, rövid határidők vállalása mellett a minőség megtartásával esetleg akciós árak mellett elkészült munkákkal. Mivel az internet egyre több embert ér el ezért a vállalkozások már nem tudják nélkülözni az online megjelenést, de a nyomtatott formátumra is szükség lesz még hosszú évekig, aminek elkészítéséhez járul hozzá a cégem.</t>
  </si>
  <si>
    <t>A piacra jutáshoz nélkülözhetetlen az erős és jó marketing megtervezése és kivitelezése, mivel van tapasztalatom benne ezért tudom, hogy az ehhez a munkához tartozó legjobb hirdetési felület a közösségi portálok (pl.: facebook, instagram), mivel a potenciális megrendelők körének nagy része megtalálható valamelyik oldalon így az üzenetet könnyen és hatékonyan tudom eljuttatni az emberekhez. Manapság egyre több vállalkozás használja az instagram-ot mint hirdetési felület nagy sikerrel. A széles körű terméklista miatt, a megrendelő lehet egy új vállalkozás, aminek kell egy weboldal vagy egy magánszemély, akinek névjegykártyára van szüksége. Azért az online megjelenéseket részesítem előnyben, mert amellett, hogy gyorsan lehet vele látható eredményt elérni, a papír alapú hirdetéssel szemben, az árat is magunknak állíthatjuk és szűkíthetjük a célcsoportot, akiknek az üzenetet szeretnénk eljuttatni. Az elkészített termékek értékesítése webshopon keresztül történik.</t>
  </si>
  <si>
    <t xml:space="preserve">Weblap tervezése (web designe) ÖVTJ 620103
</t>
  </si>
  <si>
    <t xml:space="preserve">Grafika ÖVTJ 741001
</t>
  </si>
  <si>
    <t>Fényképészet ÖVTJ 742001</t>
  </si>
  <si>
    <t>Weboldal üzemeltetés ÖVTJ 631105</t>
  </si>
  <si>
    <t>Weblap tervezése (web designe) ÖVTJ 620103</t>
  </si>
  <si>
    <t>Grafika ÖVTJ 741001</t>
  </si>
  <si>
    <t>Nem engedélyköteles</t>
  </si>
  <si>
    <t>Megalapítandó vállalkozásomra nem vonatkozik</t>
  </si>
  <si>
    <t>nem releváns</t>
  </si>
  <si>
    <t xml:space="preserve">Működési kockázat: gépek meghibásodása. Ez a probléma a vállalkozás szempontjából a legkockázatosabb, mivel a gépek nélkül nem lehet a megrendeléseket teljesíteni. </t>
  </si>
  <si>
    <t xml:space="preserve">Biztosítás kötése, garancia meghosszabbítása. A számítógépes grafikai munkák biztonsági mentése külső tárolón. </t>
  </si>
  <si>
    <t>üzleti kockázat: piaci helyzet helytelen felmérése, hibás üzleti  tervezés.</t>
  </si>
  <si>
    <t xml:space="preserve">Folyamatos piacfigyelés, versenytársak elemzése, a vállalkozás tevékenységi köreit érintő változások figyelése, naprakész információk gyűjtése. </t>
  </si>
  <si>
    <t>külső ok:megrendelői kör csökkenése</t>
  </si>
  <si>
    <t>stabil vevőkör kialakítása a kezdetektől, egyéni igények kiszolgálása, visszatérő vevők honorálása (pl. törzsvásárlói kedvezmény, többszöri/ nagy összegű megrendelés esetén kedvezmény biztosítása)</t>
  </si>
  <si>
    <t>www.webmasters.hu</t>
  </si>
  <si>
    <t>Nagy referencia anyaggal rendelkezik, így a piacon már sok megrendelővel dolgozott együtt, már kialakult a hírneve.</t>
  </si>
  <si>
    <t>Nem tud fotózást vállalni a weboldalak készítéséhez, és nem kínál arculat tervezést, nyomdai előkészítést</t>
  </si>
  <si>
    <t>Webmaster</t>
  </si>
  <si>
    <t>Grafikai feladatok</t>
  </si>
  <si>
    <t>Weboldal készítés</t>
  </si>
  <si>
    <t>Weboldal fejlesztés</t>
  </si>
  <si>
    <t>/www.vadondesign.hu</t>
  </si>
  <si>
    <t>Vadon Design</t>
  </si>
  <si>
    <t>www.qp.hu</t>
  </si>
  <si>
    <t>QualityPress</t>
  </si>
  <si>
    <t>Szolgáltatás vizsgálata, fogyasztói csoportok azonosítása, vásárlói szokások megismerése, ismerőseim körében végeztem piackutatást személyes interjúk alapján.</t>
  </si>
  <si>
    <t>Primer kutatás: fogyasztói szokások megfigyelése, megkérdezés</t>
  </si>
  <si>
    <t>A 18 és 70 év közötti emberek közül bárki lehet megrendelő.</t>
  </si>
  <si>
    <t>Mivel országszerte számos cég lehetne potenciális versenytárs, a saját vállalkozásban törekedni kell az egyedi kínálatra (komplett arculattervezés, webdesign), amely csak nagyon magas áron, vagy egyáltalán nem érhető el a versenytársaknál. Emellett nagyon fontos, hogy a vállalkozás oldala, saját arculata megnyerő legyen, valamint a referenciamunkák megosztása is versenyelőnyt jelenthet.</t>
  </si>
  <si>
    <t>Napjainkban mind a magánszemélyek, mind a vállalkozások számára meghatározó az internet világa. A vállalkozások számára elengedhetetlen a webes megjelenés, amelyhez egy jó minőségű honlap, arculat szükséges.  A piaci szokások alakulásában megfigyelhető, hogy egyre több webáruház jön létre, amelyből csak kevés magas minőségű, egységes és felhasználóbarát. Vállalkozásom célja, hogy azokat a vállalkozásoknak nyújtson szolgáltatást, amely még nem rendelkezik weboldallal, valamint webáruházak esetén a vállalja a komplett arculattervezést, az oldal felépítését, valamint a termékfotózást, amelyek mind hozzájárulnak egy magas minőségű, felhasználóbarát webshophoz.</t>
  </si>
  <si>
    <t>Az internet meghatározó szerepet tölt be mind a magánszemélyek, mind a cégek életében. A cégeknek egyre fontosabb a magas minőségű online megjelenés, amelyhez elengedhetetlen egy saját honlap.</t>
  </si>
  <si>
    <t>Telített piac. Kevés referencia munkával rendelkezem.</t>
  </si>
  <si>
    <t>Cégem weboldalak programozásával és különböző grafikai munkákkal fog foglalkozni. Első sorban digitális formában tervezett arculatok, logók, csomagolások tervezésével fogok dolgozni, de nyomdai előkészítési munkákat és fozást is el tudok vállalni.</t>
  </si>
  <si>
    <t>Nem megfelelően megszerkesztett termékmintákkal való hirdetés.</t>
  </si>
  <si>
    <t>Előzetes piackutatással és folyamatos igényfelméréssel elkerülhető a rossz hirdetés feladása. Pontosan meghatározott célközönség elérésével és megnyerő grafikai elemekkel, információval szerkesztett hirdetések készítésével elkerülhető a lehetséges veszély.</t>
  </si>
  <si>
    <t>A hirdetések árainak folyamatos változása</t>
  </si>
  <si>
    <t>A megoldás erre a gyors változtatás lehetősége, folyamatos elemzés mellett. A hirdetések nyomon követésével lehet változtatni az esetleges hibákat a hirdetések készítése során.</t>
  </si>
  <si>
    <t>A versenytársak több tőkét tudnak a hirdetésekre fordítani, így előnybe kerülnek a vállalkozásommal szemben.</t>
  </si>
  <si>
    <t>1.    naptári év  2018.</t>
  </si>
  <si>
    <t>54. BÉRKÖLTSÉG (vállalkozói kivét)</t>
  </si>
  <si>
    <t>531. sor Hatósági igazgatási, szolgáltatási díjak, illetékek (KATA, Rezsi)</t>
  </si>
  <si>
    <t>2.  naptári   év  2019.</t>
  </si>
  <si>
    <t>531. sor Hatósági igazgatási, szolgáltatási díjak, illetékek (KATA,Rezsi)</t>
  </si>
  <si>
    <t>531. sor Hatósági igazgatási, szolgáltatási díjak, illetékek(KATA, Rezsi költség)</t>
  </si>
  <si>
    <t>Igénybevett szolgáltatások értéke(5299, 5295, 522, 5296, 527, 529)</t>
  </si>
  <si>
    <t>Egyéb ráfordítások(Ipa)</t>
  </si>
  <si>
    <t>Adófizetési kötelezettség  (KATA)</t>
  </si>
  <si>
    <t>Pályázati konstrukció benyújtása</t>
  </si>
  <si>
    <t>Üzlethelység bérlet</t>
  </si>
  <si>
    <t>Domain név foglalás, szoftver vásárlás</t>
  </si>
  <si>
    <t>Marketing tevékenységek</t>
  </si>
  <si>
    <t>Kötelező nyilvánosság biztosítása</t>
  </si>
  <si>
    <t>Pályázati pénzügyi elszámolás benyújtása</t>
  </si>
  <si>
    <t>A felsorolt költségek nem kerülnek a pályázatban elszámolásra. A költségek haví díjban értendőek.</t>
  </si>
  <si>
    <t>Már kialakult vevőkörrel rendelkezík, így előnyt élvez induló vállalkozásommal szemben.</t>
  </si>
  <si>
    <t>A weboldal készítésen kívül kevesebb az igényelhettő szolgáltatás, a grafikákat más ember készíti.</t>
  </si>
  <si>
    <t>15 éves szakmai tapasztalattal rendelkezik</t>
  </si>
  <si>
    <t>Az árak átlagát tekintve drágább mint az általam kínált szolgáltatások árai.</t>
  </si>
  <si>
    <t>A weboldal készítés wordpress-es oldalra specializálódik, így a lehetséges ügyfelek választási lehetősége rosszabb, mint az induló vállalkozásomban.</t>
  </si>
  <si>
    <t>Mivel a piacon sok potenciális versenytárs van jelen, ezért fontos nyomonkövetni az ő hirdetéseiket, akcióikat is, hogy ahhoz képest tudjam kialakítani saját vállalkozásom hirdetéseit, akciós ajánlatait, ezzel segítve elő a cégem fejlődését, árbevétel növekedését.</t>
  </si>
  <si>
    <t>Báki aki valamilyen grafikai anyag elkészítése szükséges potenciális vásárló lehet, a névjegykártya rendeléstől a weboldal készítéséig (esküvői weboldal). A potenciális vásárlók közé tartozk az összes új vagy már meglévő vállalkozás is, új arculat tervezésében vagy a meglévő arculat / weboldal átalakítása, megújítása.</t>
  </si>
  <si>
    <t>A vállalkozásom legfontosabb pozitívuma, hogy a folyamatos önképzés mellett gyorsan és hatékonyan tudom elvégezni a megrendeléseket, így szolgálva ki a megrendelőt, aki ha elégedett terjeszti a vállalkozásom nevét a saját köreiben is így növelve az én forgalmamat.</t>
  </si>
  <si>
    <t>Az eddigi tapasztalatok alapján már a megalapítástól kezdve pontos marketing és arculati tervel tudom a vállalkozásom hírnevét növelni.</t>
  </si>
  <si>
    <t>A korábbi munkáim során sok kapcsolatot alakítottam ki lehetséges vevők és lehetséges üzleti partnerek tekintetében is.</t>
  </si>
  <si>
    <t>Gyors és hatékony munkavégzés vállalása, pontosan megtervezett ütemezés alapján.</t>
  </si>
  <si>
    <t>A picaon lévő versenytársakkal szemben a szolgáltatások száma nagyobb a versenytársakénál. Nincs másik olyan cég, amely a teljes arculat megtervezése mellett a termékfotózást és weboldalkészítést is el tudja vállalni.</t>
  </si>
  <si>
    <t>A sok versenytárs miatt nehezebb bejutni a piacra.</t>
  </si>
  <si>
    <t>A vállalkozás fő célja, hogy olyan grafikákat készítsen a megrendelők számára, ami az aktuális design-t követi és a megrendelő elvárásainak eleget tesz. A weboldalak készítése mellet termékfotózást is vállalok így egy helyen készül több folyamat, ami a kapcsolattartást is egyszerűbbé teszi.  Mivel több folyamatot tudok elvégezni így nagyobb bevétellel számolhatok még akkor is, ha akciókat szervezek az új ügyfelek szerzésére, így előseígtve a fejlődést.</t>
  </si>
  <si>
    <t>tagi kölcsön visszafizetés</t>
  </si>
  <si>
    <t>Egyéb bevétel(Önerő 10%, tagi kölcsön)</t>
  </si>
  <si>
    <t>85 714Ft/hó</t>
  </si>
  <si>
    <t>Érettségi + OKJ grafikus végzettség</t>
  </si>
  <si>
    <t>célpiac: 500.000 vállalkozás, éves szinten 300 vállalkozásnak és magánszemélynek tudok szolgáltatást nyújtani</t>
  </si>
  <si>
    <t>A szolgáltatásaik legfőbb eleme a weboldal készítés, így a grafikai munkák a háttérbe szorulnak.</t>
  </si>
  <si>
    <t>A magas árak miatt a potenciális vevőkor alacsony, csak a nagyobb tőkével rendelkező személyeket tudják kiszolgálni.</t>
  </si>
  <si>
    <t>Minden új vagy meglévő vállalkozás méretétől függetlenül potenciális vásárló lehet. Ezen kívül a magánszemélyek igényei szerint bárki, akinek szüksége van weboldalra, névjegykártyára vagy meghívóra lehet vásárló.</t>
  </si>
  <si>
    <t>A szolgáltatások árát nagyban befolyásolhatják a versenytársak árai / akciói.</t>
  </si>
  <si>
    <t xml:space="preserve">A grafikák és weboldalak folyamatosan fejlődnek így minden téren lépést kell tartani velük, mind szakmai tudás fejlesztéssel és eszközpark fejlesztéssel, ami kiadással jár. </t>
  </si>
  <si>
    <t>Az eszközök esetleges meghibásodása esetén nagy kiadásra lehet számítani az adott eszköz javítását vagy új eszköz vásárlását tekintve.</t>
  </si>
  <si>
    <t>Laptop</t>
  </si>
  <si>
    <t>Rossz időgazdálkodás: túlzott mennyiségű megrendelés elvállalása, rosszul megbecsült határidők.</t>
  </si>
  <si>
    <t>A vállalkozás indításától kezdve pontos tervezéssel elkerülhető az esetleges időbeli csúszás. A támogatásból igénybe vett tanácsadáson tapasztalt vállalkozók segítenek elsajátítani a helyes idő beosztást.</t>
  </si>
  <si>
    <t>A túlzott munkavállalás miatt romolhat a kapcsolattartás a megrendelőkkel, partnerekkel.</t>
  </si>
  <si>
    <t>Külön figyelmet fordítok a megrendelőkkel való kapcsolattartásra, a megbeszéltek alapján informálom őket a munka folyamatáról.</t>
  </si>
  <si>
    <t xml:space="preserve">Még nem rendelkezem üzletviteli tapasztalattal. </t>
  </si>
  <si>
    <t>A támogatásból igénybevett tanácsadáson tapasztalt vállalkozók, hasonló területen tevékenykedő ügyvezetők látnak el tanácsokkal.</t>
  </si>
  <si>
    <t>Vevői kör kialakítása, network kiépítése. Célom, hogy az első év végére a megrendelésekből min. 500.000 ft-os nyereséget termeljek, valamint számos üzleti kapcsolatot kialakítsak, amelyekből az elkövetkezendő időszakban megrendelésekre számíthatok.</t>
  </si>
  <si>
    <t>Árbevétel dinamikus növelése. Középtávú céljaim között szerepel a szolgáltatások bővítése, mint például a 3D nyomtatás. Emellett terveim szerint a vállalkozásom nemzetközileg ismetté válik és több országból érkeznek majd megrendelések.</t>
  </si>
  <si>
    <t>Első sorban azért szeretnék vállalkozni, mert szeretnék független lenni és úgy építeni a cégemet, ahogy azt én jónak látom és a cégre is pozitív hatással van. Szeretnék munkatapasztalatot szerezni szakmámban, és kreatív munkákat végezni.</t>
  </si>
  <si>
    <t>Üzletviteli tapasztalat: pénzügyek kezelése, üzlettársakkal való kapcsolattartási formák.</t>
  </si>
  <si>
    <t>A szakmai tudás folyamatos tanulást igényel, a változó trendek és az új szoftverek miatt.  A nemzetközi piacra bejutáshoz elengedhetetlen a nyelvtudás feljesztése. Jogi szabályozások naprakész ismerete.</t>
  </si>
  <si>
    <t>Jó kommunikációs és probléma megoldó képesség. Jó szervező készség. Gyors tanulási képesség. Kreativitás, innovatív gondolkodásmód.</t>
  </si>
  <si>
    <t>Önérvényesítési képesség: érvelés, álláspont képviesése, tények objektív bemutatása.</t>
  </si>
  <si>
    <t>Kapcsolattartás párhuzamosan több megrendelővel, pontos igény felmérése,egyedi igények kiszolgálása.</t>
  </si>
  <si>
    <t xml:space="preserve">A szolgáltatások elkészítése előtt a legfontosabb, hogy megtaláljam az ügyfeleket, akiknek azt értékesíteni tudom. A potenciális vevőkört két csatornán keresztül kívánom elérni: személyes és online kommunikáció. Véleményem szerint meghatározó a személyes találkozó egy potenciális vevővel, hiszen ilyenkor sokkal több lehetőség nyílik a szolgáltatás pontos ismertetésére. Erre kiváló alkalmak a különböző konferenciák, üzleti találkozók, workshopok. Azokat a potenciális vevőket, akikkel nem nyílik lehetőség személyesen találkozni, online szeretném elérni. Erre a legjobb lehetőség számomra a közösségi oldalak használata. Mivel egyre többen használják ezeket a portálokat, ezért fontos, hogy a szolgáltatásaimat ott is hirdessem így érve el az embereket. Az online felületen való hirdetés által sokkal több potenciális megrendelőhöz juttathatom el a szolgáltatásaimat, ezáltal növelve a bevételt és a hírnevet.
Miután a megrendelő eldöntötte, hogy velem szeretné elkészíttetni a grafikai munkát vagy weboldalt, pontosan megbeszéljük, hogy mik az elképzelései / elvárásai, mit szeretne. A legjobb a személyes találkozó, de a legfőbb kapcsolattartási lehetőség az e-mail és a telefon.   A megbeszélés után elkészítjük a szerződést, ami magába foglalja az összes információt, ami a megrendelőt és a vállalkozásomat is védi. A szerződés magába foglalja a megbeszélt időpontokat, árakat, elvárásokat és a kifizetési határidőt is így elkerülhetőek a konfliktusok az esetleges félreértések miatt. A szerződés miatt a megrendelő pontosan tudja, hogy mikor lesz kész az általa megrendelt munka, de a vállalkozásomat is védi az által, hogy a megrendelő csak akkor kapja meg a weboldal hozzáférést vagy a nyomdai anyagot, ha a kifizetés megtörtént, addig csak látványtervet kap a megrendelésről.
A megbeszélés után megtervezem a munka folyamat különböző szakaszait és mindent előkészítek, hogy a munkát a lehető legjobban kivitelezhessem a megbeszélt határidő betartásával. A megrendelő elképzeléseihez igazodva elkészítem az első látványtervet, amit aztán be tudok mutatni a vevőnek egy újabb megbeszélés során. A második körben már látja is az elképzelést így az esetleges módosításokat időben el tudom készíteni. Az egyeztetés után a következő lépésként elkészítem a megrendelést. Ha a megrendelő elégedett és kifizette a munkát a megbeszéléshez igazodva átküldöm neki a megrendelt anyagot digitális vagy nyomtatott formában. A weboldalak esetében megadom a hozzáférést a tárhelyhez és a weboldalhoz való bejelentkezéshez. Abban az esetben, ha az ügyfél nem fizeti ki a weboldal elkészítését a szerződésben meghatározott időpontig a weboldal leállításra kerül addig, amíg a kifizetés nem történik meg. Amennyiben az ügyfél megelégedett a vállalkozásom által elkészített munkával, ő maga is ajánlani fog az ismerőseinek / más cégeknek, így növelve a vállalkozásom hírnevét. Több megrendelő esetén a bevétel is növekszik. 
</t>
  </si>
  <si>
    <t>A vállalkozás tevékenységi körei szolgáltatások, amelyek nem helyhez kötöttek. Így a vevő az ország bármely hasonló profilú vállalkozástól megrendelheti a szolgáltatást. Megfigyelhető, hogy a grafikai munkák, webdesign területén a vevők a minőségi szolgáltatásokat keresik, a legkedvezőbb feltételekkel (pl. rövid határidők).</t>
  </si>
  <si>
    <t xml:space="preserve">A vállalkozás fő profilja a weboldal programozás és grafikai munkák elkészítése. Ez magába foglalja a logótervezéstől a komplett arculattervezést, ajándékutalványok, meghívók, stb. kivitelezését. Fontos, hogy az egyedi grafikák elkészítése mellett fotózásra is lehetőség van, így a megrendelőnek nem kell egy fotóst is megkeresni, mert így egy helyen tudja intézni a munkafolyamat több szakaszát. Az egyedi grafikai elemek elkészítése mellett a nyomdai előkészítést is el tudom végezni. </t>
  </si>
  <si>
    <t>A legfontosabb előnyöm a versenytársakkal szemben, hogy több szolgáltatást rendelhetnek tőlem, így könnyítve a megrendelés folyamatát. Ez egyszerűsíti a kommunikációt és lerövidítve a megrendelés idejét. valamint magas minőségű szolgáltatást kínálok elérhető áron. Például egy internetes webshop esetében a logó megtervezését, a webshop elkészítését  és magát a termékfotózást is vállalom. Ez a megrendelőnek kényelmes, valamint egységessé válik a megrendelt szolgáltatás.</t>
  </si>
  <si>
    <t>Az árak kialakításánál a versenytársak árainak figyelembe vétele mellett fontos hogy a ráfordított energia, idő és esetleges anyagköltséget a legjobban tudjam optimalizálni a legjobb haszon mellett. Fontosnak tartom a különböző szerzonális akciókat. Emellett a nagy mennyiségben rendelő/visszatérő vevőknek törzsvásárlói kedvezményt szeretnék biztosítani. A különböző kuponakciókkal lehetőség nyílik rá, hogy maguk a megrendelők népszerűsítsék vállalkozásomat.</t>
  </si>
  <si>
    <t>A legfőbb üzenet amit minden lehetséges vásárlónak el szeretnék juttatni az, hogy a vállalkozásom a garantált minőséget és határidőt tudja garantálni, legyen szó bármilyen szokatlan, extra megrendelésről. Azt szeretném elérhi, hogy úgy gondoljanak a vállalkozásomra, mint megbízható szolgáltató,aki azt teljesíti, amit a megrendelővel előzetesen megbeszélt és a szerződésben szerepel. Azt szeretném, hogy ha valaki grafikust keres akkoregyből az én vállalkozásomra gondoljon.</t>
  </si>
  <si>
    <t>A legfontosabb kommunikációs eszköz a személyes kommunikáció mellett az interneten való kapcsolatteremtés hirdetéseken keresztül amit első sorban a közösségi portálokon (pl.: www.facebook.hu) valósítanék meg, majd azt követően e-mailen való kapcsolattartás. Az előzetes egyeztetések alapján a terveket és az összes dokumentumot el tudja juttatni egymáshoz a két fél. A második a telefon lesz, mivel az azonnali információ csere, megbeszélés fontos a munka folyamán.</t>
  </si>
  <si>
    <t>2020-ban azért lesz alacsonyabb az adózott nyereség, mert 2019-ben a bevételeimet növeli a támogatási összeg. A cash flow szerint a 2020-as éves árbevétel a szolgáltatásokból 5.500.000 ft, amely havi kib. 450.000 ft-os árbevételt jelent. A tervezett bevételeim a megrendelések számától függőek, de terveim szerint szeretnék hosszútávú szerződéseket kötni partnerekkel amelyekből az elvégzett munka (pl. webshop üzemeltetése) havi rendszerességgel kerül kifizetésre. Egy sikeres marketing kampány végrehajtása után a megrendelések száma jelentősen nőni fog, így az árbevétel is magasabb lesz. Egyéb bevételi forrást (pl. hitel felvétele, kockázati tőke befektető) nem kívánok alkalmazni.</t>
  </si>
  <si>
    <t>2020-ban a Cash Flow szerinti kiadások mértéke összesen 4.338.000 ft. Ennek jelentős részét, 2.166.000 ft-ot a bérköltség teszi ki. Emellett a hatályos jogszabályok szerint KATA-s adózóként havi 50.000 ft adót, illetéket kell befizetni, ez éves szinten 600.000 ft.Jelentős kiadás emellett az irodahelység bérlete havi 85.000 ft-ért, ami mindösszesen 1.020.000 ft, plusz rezsiköltségek (havi 19,000 ft), összesen 228.000 ft.  Egyéb igénybe vett szolgáltatás a könyvelő díja, ami 10.000 ft/hó, éves szinten 120.000 ft.   Marketingre 180.000 ft-ot tervezek költeni,  ez magába foglalja az online felületeken (Facebook, Instagram) a megjelenést, hirdetést. A fennmaradó 24,000 ft egyéb anyagköltséget (pl.. papírt) jelent.</t>
  </si>
  <si>
    <t>A munkafolyamatokhoz használt eszközök, például laptop meghibásodása nagy kiadás lehet, javítás vagy új eszköz beszerzése miatt.</t>
  </si>
  <si>
    <t>A nyomdai előkészítés elvégzése után a nyomtatási munkákat az R-Copy plusz Kft.-vel készíttetem el. Korábbi munkáim során már volt alkalmam többször is együtt dolgozni ezzel a vállalkozással, így személyes tapasztalataim is elősegítették a választásomat a nyomda kiválasztásánál.</t>
  </si>
  <si>
    <t xml:space="preserve">A vállalkozásom fő profilja a grafikai elemek és weboldalak elkészítése, a logótervtől a kész weboldalig. A picaon sok hasonló szolgáltatásokat nyújtó cég van, ezért az a tervem, hogy 1 éven belől fotózást is tudjak vállalni, így ha valaki a weboldalához saját fotókat szeretne használni, egy helyen intézheti a munkafolyamatokat. A piackutatásom során nem találtam olyan fasonló vállalkozást, amelyik a grafikai tervezést, weboldalkészítést és fotózást is tud válllalni, ezzel előnyre tehetek szeret a versenytársaimmal szemben. A már megszerzett Alkalmazott Garfikus szakmámmal és folyamatos önképzéssel biztosítom a megrendelőket arról, hogy a megrendelt szolgáltatás az aktuális design trendnek megfelelően pontos és szép lesz. Mivel dolgoztam ebben a szakmában ezért már van rálátásom arra,hogy milyen módon lehet elérni a a potenciális megrendelőket. A munkáim során dolgoztam rendezvényszervező cégnél is ahol a kommunikációban, kapcsolattartásban és szervezésben szereztem szakmai tapasztalatot. Munkáim során több kapcsolatot is sikerült kialakítanom olyan cégekkel, akikkel a későbbiekben is szeretnék együtt dolgozni, ilyen például a World Flexagon Kft, amivel a nemzetközi kiadványok mellett egy nemzetközi szövetség weboldalát is mi készítettük el közösen. A nyomdai munkákban az R-Copy Plusz Kft-vel dolgoztam együtt, akikkel szintén jó kapcsolatot siekrült kiépítenem. A vállalkozásom álltal nyújtott szolgáltatások mindenki számára megfizethetőek nem csak a nagy cégeknek, így akár azok a magánszemélyek is tudnak hozzám fordulni, akiknek esetleg csak egy névjegykártya elkészítésére van szüksége, a versenytársakhoz képest kedvezőbb árat biztosítva. Az egyik legfontosabb terület, ahol az általam nyújtott szolgáltatásokat tudom hirdetni, azok főleg a közösségi portálokon való hirdetés, mivel egyre több cég is fent van ezeken az oldalakon így a magánszemélyek mellett hozzájuk is eljut az információ. A grafikai munkák vagy weboldalak elkészítéséhez olyan programokat kell használnom, amelyek működtetéséhez egy erős és megbízható számítógépre van szükségem. A választásom egy ASUS laptopra esett, amelynek teljesítménye a most kapható konfigurációk ár / érték arányában véve az egyik legjobb termék. Az ASUS Rog Strix GL502VM-FY188 megfelelő teljesítményt tud nyújtani ahhoz, hogy az elkövetkezendő években ne kelljen újra laptopot vennem, ez a teljesítmény elég arra, hogy a szükséges szoftvereket tudjam megbízhatóan használni a különböző megrendelések teljesítése érdekében. A másik fontos beruházás, amit meg szeretnék valósítani az iroda bérlése, mivel fontos, hogy a munkavégzéshez megfelelő hely álljon rendelkezésre, mivel sok eszközt is használok a munkám során és, hogy a munka a leggördülékenyebben mehessen fontos, hogy mindennek meglegyen a helye így nem kell az időmet pakolással töltenem, ami kifejezetten fontos lesz akkor, ha sok megrendelés érkezik. Mivel saját vállalkozás vezetésében még nincs tapasztalatom, ezért tartok igényt a szakmai tanácsadásra, ahol azokat a hiányosságaimat tudom fejleszteni, amik szükségesek egy vállalkozás sikeres működtetéséhez. 3-5 éves terveim közé tartozik az is, hogy a szolgáltatásaimat bővtsem 3D-s nyomtatással. Ezt először a Basiliskus 3D Zrt-vel közösen együtt dolgozva tervezem kivitelezni, akikkel már dolgoztam együtt egy 3D-s díj megtervezésében és kivitelezésében. Ha sikerül megfelelő vevőkört kialakítani, az egyszerűbb kisebb munkák elvégzéséhez tervezek beruházni egy saját 3D-s nyomtatóra, így a tesztnyomtatásokat vagy a kisebb munkákat külső cégek nélkül tudom elkészíteni, amivel növelhetem a hasznot az egyes termékek elékszítése során. A vállalkozás folyamatos fejlesztése mellett naprakész frissítéseket tudok beállítani az egyes szolgáltatásoknál így biztosítva, hogy a potenciális vevőkör bővüljön, emelett nagy hangsúlyt fektetek saját magam képzésére is, mivel a tecnológiai megoldások folyamatason fejlődnek ebben a szakmában nélkülözhetetelen a személyes tudás folyamatos bővítése. A minőségi munkák elvégzésével nem csak az aktuális megrendelés teljesítése a célom, hanem az is, hogy a vevő az én vállalkozásomat válassza a későbbi megbízásoknál is, esetleg az ismerősei körében is terjessze a vállalkozásom nevét. A célom egy olyan vállalkozás beindítása, ami rövid időn belül kialakult vevőkörrel és partnerekkel rendelkezik, ami lehetővé teszi a további fejlesztések elvégzését és a bevétel folyamatos növekedését. Az első 1 évben szeretném fejleszteni az eszközparkot is, amivel könnyebben tudom elvégezni az adott munkát, így időt takarítok meg, amit a rá tudok fordítani a vállalkozás további fejlesztésére. </t>
  </si>
  <si>
    <t>Az eszközök folyamatos karbantartásával növelhető az eszköz élettartama. Mivel a nagy teljesítményű laptopoknál a túlmelegedés kockázata igen nagy, ezért a rendszeres takarítás mellett egy laptophűtő használatával ezt meg lehet előzni.</t>
  </si>
  <si>
    <t>Megfelelő kommunikációval, árazással és marketing tevékenységekkel elérhető, ohgy a potenciális vevőkör ne csökkenjen, hanem növekedjen, így a megrendelések száma is gyarapodhat, ami bevétel növekedéshez vezet.</t>
  </si>
  <si>
    <t>Az új versenytársak megjelenésével a megrendelők száma csökkenhet, ami bevétel kiesést jelenthet.</t>
  </si>
  <si>
    <t>Adók növekedése jogszabályok változása.</t>
  </si>
  <si>
    <t xml:space="preserve">Mivel ezek lehetséges veszélyforrások, ezért folyamatosan tájékozódom az esetleges változásokról, hogy időben fel tudjak készülni a változásokra. A vállalkozás bevételének egy részét félretéve az esetleges kiadások nem okoznak gondot. </t>
  </si>
  <si>
    <t>A munkám elvégzéséhez szükséges szolgáltatásokat a legjobb ár / érték alapján választottam ki. A válllalkozásom sikeres működéséhez szükségem van egy irodára, mivel sok helyre van szükségem az eszközök méretei miatt. Az iroda bérlését és a weboldal elkészítését a World Flexahon Kft-től fogom igénybe venni. A szakmai tanácsadást a Educatio 98' Kft által megszervezett programon fogom igénybe venni.</t>
  </si>
  <si>
    <t>300, 50%</t>
  </si>
  <si>
    <t>domain név-tárhely</t>
  </si>
  <si>
    <t>Affinity Designer,  weboldal</t>
  </si>
  <si>
    <t>Grafikai munkák kivitelezése weboldal: szolgáltatások bemutatása</t>
  </si>
  <si>
    <t>2018. 03.03-03.09. 3530 Miskolc Meggyesalja utca 26.</t>
  </si>
  <si>
    <t>könyvelő(Egyéb igénybevett szolgáltatás)</t>
  </si>
  <si>
    <t>nyomtatópapír (egyéb anyagköltség)</t>
  </si>
  <si>
    <t>Vállalkozás tervezett neve: Farkas Sándor Mihály E.V.</t>
  </si>
  <si>
    <t xml:space="preserve"> ÖVTJ 620103</t>
  </si>
  <si>
    <t>ÖVTJ 741001, ÖVTJ 742001, ÖVTJ 631105, ÖVTJ 181303</t>
  </si>
  <si>
    <t>Kelt (helység, dátum): Eger 2018.03.28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</si>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</sst>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7" fillId="0" borderId="0" applyNumberFormat="0" applyFill="0" applyBorder="0" applyAlignment="0" applyProtection="0"/>
    <xf numFmtId="0" fontId="79" fillId="0" borderId="0"/>
    <xf numFmtId="43" fontId="33" fillId="0" borderId="0" applyFont="0" applyFill="0" applyBorder="0" applyAlignment="0" applyProtection="0"/>
    <xf numFmtId="44" fontId="33" fillId="0" borderId="0" applyFont="0" applyFill="0" applyBorder="0" applyAlignment="0" applyProtection="0"/>
    <xf numFmtId="0" fontId="84"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8" fillId="0" borderId="152" xfId="0" applyFont="1" applyFill="1" applyBorder="1" applyAlignment="1" applyProtection="1">
      <alignment horizontal="center" vertical="center" wrapText="1"/>
      <protection locked="0"/>
    </xf>
    <xf numFmtId="0" fontId="38"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3"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3" fillId="5" borderId="0" xfId="5" applyFill="1" applyProtection="1">
      <protection hidden="1"/>
    </xf>
    <xf numFmtId="168" fontId="33" fillId="5" borderId="0" xfId="5" applyNumberFormat="1" applyFill="1" applyProtection="1">
      <protection hidden="1"/>
    </xf>
    <xf numFmtId="0" fontId="70"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72" fillId="5" borderId="0" xfId="5" applyFont="1" applyFill="1" applyAlignment="1" applyProtection="1">
      <alignment horizontal="right" vertical="center"/>
      <protection hidden="1"/>
    </xf>
    <xf numFmtId="49" fontId="72" fillId="0" borderId="0" xfId="5" applyNumberFormat="1" applyFont="1" applyAlignment="1" applyProtection="1">
      <alignment horizontal="left" vertical="center"/>
      <protection hidden="1"/>
    </xf>
    <xf numFmtId="44" fontId="73" fillId="5" borderId="0" xfId="9" applyNumberFormat="1" applyFont="1" applyFill="1" applyAlignment="1" applyProtection="1">
      <alignment horizontal="right" vertical="center"/>
      <protection hidden="1"/>
    </xf>
    <xf numFmtId="44" fontId="74" fillId="5" borderId="0" xfId="9" applyNumberFormat="1" applyFont="1" applyFill="1" applyAlignment="1" applyProtection="1">
      <alignment vertical="center"/>
      <protection hidden="1"/>
    </xf>
    <xf numFmtId="0" fontId="33" fillId="0" borderId="0" xfId="5" applyProtection="1">
      <protection hidden="1"/>
    </xf>
    <xf numFmtId="22" fontId="76" fillId="5" borderId="0" xfId="5" applyNumberFormat="1" applyFont="1" applyFill="1" applyAlignment="1" applyProtection="1">
      <alignment horizontal="left" vertical="center"/>
      <protection hidden="1"/>
    </xf>
    <xf numFmtId="0" fontId="78" fillId="5" borderId="0" xfId="6" applyFont="1" applyFill="1" applyAlignment="1" applyProtection="1">
      <alignment horizontal="left" vertical="center"/>
      <protection hidden="1"/>
    </xf>
    <xf numFmtId="44" fontId="72"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3" fillId="5" borderId="0" xfId="9" applyNumberFormat="1" applyFont="1" applyFill="1" applyProtection="1">
      <protection hidden="1"/>
    </xf>
    <xf numFmtId="0" fontId="76" fillId="0" borderId="0" xfId="5" applyFont="1" applyAlignment="1" applyProtection="1">
      <alignment horizontal="center" vertical="center"/>
      <protection hidden="1"/>
    </xf>
    <xf numFmtId="0" fontId="74"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6" fontId="33" fillId="5" borderId="0" xfId="5" applyNumberFormat="1" applyFill="1" applyAlignment="1" applyProtection="1">
      <alignment vertical="center"/>
      <protection hidden="1"/>
    </xf>
    <xf numFmtId="43" fontId="74" fillId="0" borderId="17" xfId="4" applyFont="1" applyBorder="1" applyAlignment="1" applyProtection="1">
      <alignment horizontal="center" vertical="center" wrapText="1"/>
      <protection hidden="1"/>
    </xf>
    <xf numFmtId="166" fontId="33" fillId="0" borderId="0" xfId="5" applyNumberFormat="1" applyAlignment="1" applyProtection="1">
      <alignment vertical="center"/>
      <protection hidden="1"/>
    </xf>
    <xf numFmtId="43" fontId="74"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6" fontId="79" fillId="7" borderId="17" xfId="7" applyNumberFormat="1" applyFill="1" applyBorder="1" applyAlignment="1" applyProtection="1">
      <alignment vertical="center"/>
      <protection hidden="1"/>
    </xf>
    <xf numFmtId="43" fontId="74" fillId="0" borderId="0" xfId="4" applyFont="1" applyBorder="1" applyAlignment="1" applyProtection="1">
      <alignment horizontal="center" vertical="center" wrapText="1"/>
      <protection hidden="1"/>
    </xf>
    <xf numFmtId="0" fontId="70" fillId="5" borderId="0" xfId="5" applyFont="1" applyFill="1" applyBorder="1" applyAlignment="1" applyProtection="1">
      <alignment vertical="center"/>
      <protection hidden="1"/>
    </xf>
    <xf numFmtId="166" fontId="75" fillId="0" borderId="17" xfId="5" applyNumberFormat="1" applyFont="1" applyBorder="1" applyAlignment="1" applyProtection="1">
      <alignment horizontal="center" vertical="center" wrapText="1"/>
      <protection hidden="1"/>
    </xf>
    <xf numFmtId="166" fontId="80"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6" fontId="79"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6" fontId="79"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74" fillId="5" borderId="0" xfId="5" applyFont="1" applyFill="1" applyProtection="1">
      <protection hidden="1"/>
    </xf>
    <xf numFmtId="166" fontId="74" fillId="5" borderId="0" xfId="7" applyNumberFormat="1" applyFont="1" applyFill="1" applyProtection="1">
      <protection hidden="1"/>
    </xf>
    <xf numFmtId="0" fontId="74" fillId="5" borderId="0" xfId="5" applyFont="1" applyFill="1" applyAlignment="1" applyProtection="1">
      <alignment vertical="center"/>
      <protection hidden="1"/>
    </xf>
    <xf numFmtId="0" fontId="33" fillId="5" borderId="0" xfId="5" applyFill="1" applyAlignment="1" applyProtection="1">
      <alignment wrapText="1"/>
      <protection hidden="1"/>
    </xf>
    <xf numFmtId="0" fontId="81" fillId="5" borderId="0" xfId="5" applyFont="1" applyFill="1" applyProtection="1">
      <protection hidden="1"/>
    </xf>
    <xf numFmtId="8" fontId="81" fillId="5" borderId="0" xfId="5" applyNumberFormat="1" applyFont="1" applyFill="1" applyProtection="1">
      <protection hidden="1"/>
    </xf>
    <xf numFmtId="0" fontId="76" fillId="5" borderId="0" xfId="5" applyFont="1" applyFill="1" applyProtection="1">
      <protection hidden="1"/>
    </xf>
    <xf numFmtId="3" fontId="81" fillId="5" borderId="0" xfId="5" applyNumberFormat="1" applyFont="1" applyFill="1" applyProtection="1">
      <protection hidden="1"/>
    </xf>
    <xf numFmtId="8" fontId="76" fillId="5" borderId="0" xfId="5" applyNumberFormat="1" applyFont="1" applyFill="1" applyProtection="1">
      <protection hidden="1"/>
    </xf>
    <xf numFmtId="43" fontId="74" fillId="0" borderId="30" xfId="4" applyFont="1" applyBorder="1" applyAlignment="1" applyProtection="1">
      <alignment horizontal="center" vertical="center" wrapText="1"/>
      <protection hidden="1"/>
    </xf>
    <xf numFmtId="43" fontId="74" fillId="0" borderId="30" xfId="8" applyFont="1" applyBorder="1" applyAlignment="1" applyProtection="1">
      <alignment horizontal="center" vertical="center" wrapText="1"/>
      <protection hidden="1"/>
    </xf>
    <xf numFmtId="43" fontId="74" fillId="0" borderId="185" xfId="4" applyFont="1" applyBorder="1" applyAlignment="1" applyProtection="1">
      <alignment horizontal="center" vertical="center" wrapText="1"/>
      <protection hidden="1"/>
    </xf>
    <xf numFmtId="43" fontId="74" fillId="0" borderId="185" xfId="8" applyFont="1" applyBorder="1" applyAlignment="1" applyProtection="1">
      <alignment horizontal="center" vertical="center" wrapText="1"/>
      <protection hidden="1"/>
    </xf>
    <xf numFmtId="0" fontId="70" fillId="5" borderId="0" xfId="5" applyFont="1" applyFill="1" applyProtection="1">
      <protection hidden="1"/>
    </xf>
    <xf numFmtId="0" fontId="82" fillId="5" borderId="0" xfId="5" applyFont="1" applyFill="1" applyAlignment="1" applyProtection="1">
      <alignment vertical="center"/>
      <protection hidden="1"/>
    </xf>
    <xf numFmtId="0" fontId="82" fillId="5" borderId="0" xfId="5" applyFont="1" applyFill="1" applyProtection="1">
      <protection hidden="1"/>
    </xf>
    <xf numFmtId="0" fontId="83" fillId="5" borderId="0" xfId="5" applyFont="1" applyFill="1" applyProtection="1">
      <protection hidden="1"/>
    </xf>
    <xf numFmtId="0" fontId="83" fillId="5" borderId="0" xfId="5" applyFont="1" applyFill="1" applyAlignment="1" applyProtection="1">
      <alignment vertical="center"/>
      <protection hidden="1"/>
    </xf>
    <xf numFmtId="44" fontId="83" fillId="5" borderId="0" xfId="9" applyNumberFormat="1" applyFont="1" applyFill="1" applyBorder="1" applyAlignment="1" applyProtection="1">
      <alignment vertical="center"/>
      <protection hidden="1"/>
    </xf>
    <xf numFmtId="44" fontId="82"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58" xfId="0" applyFont="1" applyFill="1" applyBorder="1" applyAlignment="1">
      <alignment horizontal="left" vertical="center" wrapText="1" indent="1"/>
    </xf>
    <xf numFmtId="0" fontId="7" fillId="0" borderId="5" xfId="0" applyFont="1" applyFill="1" applyBorder="1" applyAlignment="1" applyProtection="1">
      <alignment horizontal="left" vertical="center" wrapText="1"/>
      <protection locked="0"/>
    </xf>
    <xf numFmtId="0" fontId="1" fillId="0" borderId="0" xfId="0" applyFont="1" applyFill="1" applyAlignment="1">
      <alignment horizontal="left" vertical="center"/>
    </xf>
    <xf numFmtId="14" fontId="7" fillId="5" borderId="47" xfId="0" applyNumberFormat="1" applyFont="1" applyFill="1" applyBorder="1" applyAlignment="1" applyProtection="1">
      <alignment vertical="center" wrapText="1"/>
      <protection locked="0"/>
    </xf>
    <xf numFmtId="0" fontId="3" fillId="0" borderId="69" xfId="1" applyFill="1" applyBorder="1" applyAlignment="1" applyProtection="1">
      <alignment vertical="center" wrapText="1"/>
      <protection locked="0"/>
    </xf>
    <xf numFmtId="0" fontId="3" fillId="0" borderId="75" xfId="1" applyFill="1" applyBorder="1" applyAlignment="1" applyProtection="1">
      <alignment vertical="center" wrapText="1"/>
      <protection locked="0"/>
    </xf>
    <xf numFmtId="0" fontId="3" fillId="0" borderId="77" xfId="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8" fillId="0" borderId="44" xfId="0" applyFont="1" applyFill="1" applyBorder="1" applyAlignment="1" applyProtection="1">
      <alignment horizontal="center" vertical="center" wrapText="1"/>
      <protection locked="0"/>
    </xf>
    <xf numFmtId="0" fontId="38" fillId="0" borderId="140" xfId="0" applyFont="1" applyFill="1" applyBorder="1" applyAlignment="1" applyProtection="1">
      <alignment horizontal="center" vertical="center" wrapText="1"/>
      <protection locked="0"/>
    </xf>
    <xf numFmtId="0" fontId="10" fillId="0" borderId="14" xfId="0" applyFont="1" applyFill="1" applyBorder="1" applyAlignment="1">
      <alignment horizontal="left" vertical="center" wrapText="1"/>
    </xf>
    <xf numFmtId="0" fontId="7" fillId="0" borderId="5" xfId="0" applyFont="1" applyFill="1" applyBorder="1" applyAlignment="1" applyProtection="1">
      <alignment horizontal="left" vertical="center" wrapText="1"/>
      <protection locked="0"/>
    </xf>
    <xf numFmtId="9" fontId="2" fillId="0" borderId="14" xfId="3" applyFont="1" applyFill="1" applyBorder="1" applyAlignment="1" applyProtection="1">
      <alignment horizontal="center" vertical="center" wrapText="1"/>
      <protection locked="0"/>
    </xf>
    <xf numFmtId="0" fontId="2" fillId="0" borderId="53" xfId="0" applyFont="1" applyFill="1" applyBorder="1" applyAlignment="1" applyProtection="1">
      <alignment horizontal="justify" vertical="center" wrapText="1"/>
      <protection locked="0"/>
    </xf>
    <xf numFmtId="0" fontId="2" fillId="0" borderId="51" xfId="0" applyFont="1" applyFill="1" applyBorder="1" applyAlignment="1" applyProtection="1">
      <alignment horizontal="justify"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0" borderId="76"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46" fillId="5" borderId="3" xfId="1" applyFont="1" applyFill="1" applyBorder="1" applyAlignment="1" applyProtection="1">
      <alignment horizontal="left" vertical="center" wrapText="1"/>
      <protection locked="0"/>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8" xfId="0" applyFont="1" applyFill="1" applyBorder="1" applyAlignment="1" applyProtection="1">
      <alignment horizontal="left" vertical="center" wrapText="1"/>
      <protection locked="0"/>
    </xf>
    <xf numFmtId="0" fontId="7" fillId="0" borderId="128" xfId="0" applyFont="1" applyFill="1" applyBorder="1" applyAlignment="1" applyProtection="1">
      <alignment horizontal="left" vertical="center" wrapText="1"/>
      <protection locked="0"/>
    </xf>
    <xf numFmtId="0" fontId="7" fillId="0" borderId="114" xfId="0" applyFont="1" applyFill="1" applyBorder="1" applyAlignment="1" applyProtection="1">
      <alignment horizontal="left" vertical="center" wrapText="1"/>
      <protection locked="0"/>
    </xf>
    <xf numFmtId="0" fontId="7" fillId="0" borderId="11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11" fillId="5" borderId="8" xfId="0" applyFont="1" applyFill="1" applyBorder="1" applyAlignment="1">
      <alignment horizontal="left" vertical="center" wrapText="1"/>
    </xf>
    <xf numFmtId="0" fontId="11" fillId="5" borderId="9" xfId="0" applyFont="1" applyFill="1" applyBorder="1" applyAlignment="1">
      <alignment horizontal="left" vertical="center" wrapText="1"/>
    </xf>
    <xf numFmtId="0" fontId="11" fillId="5" borderId="10"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11" fillId="5" borderId="3"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11" fillId="5" borderId="4"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0" borderId="3"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47" xfId="0" applyNumberFormat="1" applyFont="1" applyFill="1" applyBorder="1" applyAlignment="1" applyProtection="1">
      <alignment horizontal="center" vertical="center" wrapText="1"/>
      <protection locked="0"/>
    </xf>
    <xf numFmtId="1" fontId="26"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23" fillId="0" borderId="167"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1" fillId="5" borderId="0" xfId="5" applyFont="1" applyFill="1" applyAlignment="1" applyProtection="1">
      <alignment horizontal="center" vertical="center"/>
      <protection hidden="1"/>
    </xf>
    <xf numFmtId="0" fontId="81" fillId="5" borderId="0" xfId="5" applyFont="1" applyFill="1" applyAlignment="1" applyProtection="1">
      <alignment horizontal="left" vertical="top" wrapText="1"/>
      <protection hidden="1"/>
    </xf>
    <xf numFmtId="0" fontId="81" fillId="5" borderId="0" xfId="5" applyFont="1" applyFill="1" applyAlignment="1" applyProtection="1">
      <alignment horizontal="left" vertical="top"/>
      <protection hidden="1"/>
    </xf>
    <xf numFmtId="166" fontId="75" fillId="0" borderId="66" xfId="5" applyNumberFormat="1" applyFont="1" applyBorder="1" applyAlignment="1" applyProtection="1">
      <alignment horizontal="center" vertical="center" wrapText="1"/>
      <protection hidden="1"/>
    </xf>
    <xf numFmtId="166" fontId="75" fillId="0" borderId="58" xfId="5" applyNumberFormat="1" applyFont="1" applyBorder="1" applyAlignment="1" applyProtection="1">
      <alignment horizontal="center" vertical="center" wrapText="1"/>
      <protection hidden="1"/>
    </xf>
    <xf numFmtId="166" fontId="75" fillId="0" borderId="65" xfId="5" applyNumberFormat="1" applyFont="1" applyBorder="1" applyAlignment="1" applyProtection="1">
      <alignment horizontal="center" vertical="center" wrapText="1"/>
      <protection hidden="1"/>
    </xf>
    <xf numFmtId="44" fontId="73" fillId="5" borderId="0" xfId="9" applyNumberFormat="1" applyFont="1" applyFill="1" applyAlignment="1" applyProtection="1">
      <alignment horizontal="center" vertical="center"/>
      <protection hidden="1"/>
    </xf>
    <xf numFmtId="44" fontId="74" fillId="5" borderId="0" xfId="9" applyNumberFormat="1" applyFont="1" applyFill="1" applyAlignment="1" applyProtection="1">
      <alignment horizontal="center" vertical="center"/>
      <protection hidden="1"/>
    </xf>
    <xf numFmtId="0" fontId="69" fillId="0" borderId="183" xfId="5" applyFont="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6" fillId="0" borderId="184" xfId="5" applyFont="1" applyBorder="1" applyAlignment="1" applyProtection="1">
      <alignment horizontal="center" vertical="center"/>
      <protection hidden="1"/>
    </xf>
    <xf numFmtId="0" fontId="33" fillId="0" borderId="30" xfId="5" applyBorder="1" applyAlignment="1" applyProtection="1">
      <alignment horizontal="center" vertical="center" wrapText="1"/>
      <protection hidden="1"/>
    </xf>
    <xf numFmtId="0" fontId="33" fillId="0" borderId="44" xfId="5" applyBorder="1" applyAlignment="1" applyProtection="1">
      <alignment horizontal="center" vertical="center" wrapText="1"/>
      <protection hidden="1"/>
    </xf>
    <xf numFmtId="0" fontId="33" fillId="7" borderId="30" xfId="5" applyFill="1" applyBorder="1" applyAlignment="1" applyProtection="1">
      <alignment horizontal="center" vertical="center" wrapText="1"/>
      <protection hidden="1"/>
    </xf>
    <xf numFmtId="0" fontId="33" fillId="7" borderId="44" xfId="5" applyFill="1" applyBorder="1" applyAlignment="1" applyProtection="1">
      <alignment horizontal="center" vertical="center" wrapText="1"/>
      <protection hidden="1"/>
    </xf>
    <xf numFmtId="166" fontId="79" fillId="7" borderId="30" xfId="7" applyNumberFormat="1" applyFill="1" applyBorder="1" applyAlignment="1" applyProtection="1">
      <alignment horizontal="center" vertical="center"/>
      <protection hidden="1"/>
    </xf>
    <xf numFmtId="166" fontId="79" fillId="7" borderId="44" xfId="7" applyNumberFormat="1" applyFill="1" applyBorder="1" applyAlignment="1" applyProtection="1">
      <alignment horizontal="center" vertical="center"/>
      <protection hidden="1"/>
    </xf>
    <xf numFmtId="166" fontId="79" fillId="0" borderId="30" xfId="7" applyNumberFormat="1" applyFill="1" applyBorder="1" applyAlignment="1" applyProtection="1">
      <alignment horizontal="center" vertical="center"/>
      <protection hidden="1"/>
    </xf>
    <xf numFmtId="166" fontId="79"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185" xfId="5" applyBorder="1" applyAlignment="1" applyProtection="1">
      <alignment horizontal="center" vertical="center" wrapText="1"/>
      <protection hidden="1"/>
    </xf>
    <xf numFmtId="0" fontId="33" fillId="14" borderId="30" xfId="5" applyFill="1" applyBorder="1" applyAlignment="1" applyProtection="1">
      <alignment horizontal="center" vertical="center" wrapText="1"/>
      <protection hidden="1"/>
    </xf>
    <xf numFmtId="0" fontId="33" fillId="14" borderId="185" xfId="5" applyFill="1" applyBorder="1" applyAlignment="1" applyProtection="1">
      <alignment horizontal="center" vertical="center" wrapText="1"/>
      <protection hidden="1"/>
    </xf>
    <xf numFmtId="0" fontId="33" fillId="14" borderId="44" xfId="5" applyFill="1" applyBorder="1" applyAlignment="1" applyProtection="1">
      <alignment horizontal="center" vertical="center" wrapText="1"/>
      <protection hidden="1"/>
    </xf>
    <xf numFmtId="166" fontId="79" fillId="0" borderId="185" xfId="7" applyNumberFormat="1" applyFill="1" applyBorder="1" applyAlignment="1" applyProtection="1">
      <alignment horizontal="center" vertical="center"/>
      <protection hidden="1"/>
    </xf>
    <xf numFmtId="0" fontId="74" fillId="5" borderId="0" xfId="5" applyFont="1" applyFill="1" applyAlignment="1" applyProtection="1">
      <alignment horizontal="center"/>
      <protection hidden="1"/>
    </xf>
    <xf numFmtId="43" fontId="74"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0" fontId="85" fillId="0" borderId="0" xfId="0" applyFont="1" applyAlignment="1">
      <alignment vertical="center"/>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89" fillId="0" borderId="92" xfId="0" applyFont="1" applyBorder="1" applyAlignment="1">
      <alignment horizontal="center" vertical="center"/>
    </xf>
    <xf numFmtId="0" fontId="105" fillId="5" borderId="18" xfId="0" applyFont="1" applyFill="1" applyBorder="1" applyAlignment="1">
      <alignment horizontal="center" vertical="center" wrapText="1"/>
    </xf>
    <xf numFmtId="0" fontId="106"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5" fillId="5" borderId="21" xfId="0" applyFont="1" applyFill="1" applyBorder="1" applyAlignment="1">
      <alignment horizontal="center" vertical="center" wrapText="1"/>
    </xf>
    <xf numFmtId="0" fontId="106"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6" fillId="10" borderId="23" xfId="0" applyFont="1" applyFill="1" applyBorder="1" applyAlignment="1">
      <alignment horizontal="left" vertical="center" wrapText="1" indent="1"/>
    </xf>
    <xf numFmtId="0" fontId="106"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7" fillId="0" borderId="0" xfId="0" applyFont="1" applyAlignment="1">
      <alignment horizontal="left" vertical="center" indent="1"/>
    </xf>
    <xf numFmtId="0" fontId="86" fillId="0" borderId="0" xfId="0" applyFont="1" applyAlignment="1">
      <alignment horizontal="center"/>
    </xf>
    <xf numFmtId="0" fontId="107" fillId="20" borderId="3" xfId="0" applyFont="1" applyFill="1" applyBorder="1" applyAlignment="1">
      <alignment horizontal="center" vertical="center"/>
    </xf>
    <xf numFmtId="0" fontId="107" fillId="20" borderId="5" xfId="0" applyFont="1" applyFill="1" applyBorder="1" applyAlignment="1">
      <alignment horizontal="center" vertical="center"/>
    </xf>
    <xf numFmtId="0" fontId="107"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108" fillId="5" borderId="62" xfId="0" applyFont="1" applyFill="1" applyBorder="1" applyAlignment="1">
      <alignment horizontal="left" vertical="center" wrapText="1"/>
    </xf>
    <xf numFmtId="0" fontId="108" fillId="5" borderId="63" xfId="0" applyFont="1" applyFill="1" applyBorder="1" applyAlignment="1">
      <alignment horizontal="left" vertical="center" wrapText="1"/>
    </xf>
    <xf numFmtId="0" fontId="108" fillId="5" borderId="91" xfId="0" applyFont="1" applyFill="1" applyBorder="1" applyAlignment="1">
      <alignment horizontal="left" vertical="center" wrapText="1"/>
    </xf>
    <xf numFmtId="0" fontId="105" fillId="21" borderId="19" xfId="0" applyFont="1" applyFill="1" applyBorder="1" applyAlignment="1">
      <alignment horizontal="center" vertical="center"/>
    </xf>
    <xf numFmtId="0" fontId="105"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5" fillId="21" borderId="24" xfId="0" applyFont="1" applyFill="1" applyBorder="1" applyAlignment="1">
      <alignment horizontal="center" vertical="center"/>
    </xf>
    <xf numFmtId="0" fontId="105" fillId="21" borderId="10" xfId="0" applyFont="1" applyFill="1" applyBorder="1" applyAlignment="1">
      <alignment horizontal="center" vertical="center"/>
    </xf>
    <xf numFmtId="0" fontId="105"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1" fillId="0" borderId="0" xfId="0" applyFont="1" applyAlignment="1">
      <alignment horizontal="center" vertical="center"/>
    </xf>
    <xf numFmtId="0" fontId="112" fillId="8" borderId="46" xfId="0" applyFont="1" applyFill="1" applyBorder="1" applyAlignment="1">
      <alignment horizontal="left" vertical="center" wrapText="1" indent="1"/>
    </xf>
    <xf numFmtId="0" fontId="112" fillId="8" borderId="47" xfId="0" applyFont="1" applyFill="1" applyBorder="1" applyAlignment="1">
      <alignment horizontal="center" vertical="center" wrapText="1"/>
    </xf>
    <xf numFmtId="0" fontId="112"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2" fillId="0" borderId="43" xfId="0" applyFont="1" applyBorder="1" applyAlignment="1">
      <alignment horizontal="left" vertical="center" wrapText="1" indent="1"/>
    </xf>
    <xf numFmtId="0" fontId="112" fillId="4" borderId="44" xfId="0" applyFont="1" applyFill="1" applyBorder="1" applyAlignment="1">
      <alignment horizontal="center" vertical="center" wrapText="1"/>
    </xf>
    <xf numFmtId="0" fontId="112" fillId="22" borderId="44" xfId="0" applyFont="1" applyFill="1" applyBorder="1" applyAlignment="1">
      <alignment horizontal="center" vertical="center" wrapText="1"/>
    </xf>
    <xf numFmtId="0" fontId="112"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2"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2"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4" fillId="16" borderId="18" xfId="0" applyFont="1" applyFill="1" applyBorder="1" applyAlignment="1">
      <alignment horizontal="left" vertical="center" wrapText="1" indent="1"/>
    </xf>
    <xf numFmtId="0" fontId="114" fillId="16" borderId="19" xfId="0" applyFont="1" applyFill="1" applyBorder="1" applyAlignment="1">
      <alignment horizontal="center" vertical="center" wrapText="1"/>
    </xf>
    <xf numFmtId="0" fontId="114" fillId="16" borderId="20" xfId="0" applyFont="1" applyFill="1" applyBorder="1" applyAlignment="1">
      <alignment horizontal="center" vertical="center" wrapText="1"/>
    </xf>
    <xf numFmtId="0" fontId="116" fillId="0" borderId="66" xfId="0" applyFont="1" applyBorder="1" applyAlignment="1">
      <alignment horizontal="center" vertical="center" wrapText="1"/>
    </xf>
    <xf numFmtId="0" fontId="116" fillId="0" borderId="65" xfId="0" applyFont="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2" fillId="8" borderId="186" xfId="0" applyFont="1" applyFill="1" applyBorder="1" applyAlignment="1">
      <alignment horizontal="left" vertical="center" wrapText="1" indent="1"/>
    </xf>
    <xf numFmtId="0" fontId="112" fillId="8" borderId="187" xfId="0" applyFont="1" applyFill="1" applyBorder="1" applyAlignment="1">
      <alignment horizontal="center" vertical="center" wrapText="1"/>
    </xf>
    <xf numFmtId="0" fontId="112" fillId="8" borderId="186" xfId="0" applyFont="1" applyFill="1" applyBorder="1" applyAlignment="1">
      <alignment horizontal="center" vertical="center" wrapText="1"/>
    </xf>
    <xf numFmtId="0" fontId="112" fillId="8" borderId="188"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2"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2"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2"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55" xfId="0" applyFont="1" applyBorder="1" applyAlignment="1">
      <alignment horizontal="center" vertical="center" wrapText="1"/>
    </xf>
    <xf numFmtId="0" fontId="116" fillId="0" borderId="90" xfId="0" applyFont="1" applyBorder="1" applyAlignment="1">
      <alignment horizontal="center" vertical="center" wrapTex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16" borderId="39" xfId="0" applyFont="1" applyFill="1" applyBorder="1" applyAlignment="1">
      <alignment horizontal="left" vertical="center" wrapText="1" indent="1"/>
    </xf>
    <xf numFmtId="0" fontId="114" fillId="16" borderId="70" xfId="0" applyFont="1" applyFill="1" applyBorder="1" applyAlignment="1">
      <alignment horizontal="center" vertical="center" wrapText="1"/>
    </xf>
    <xf numFmtId="0" fontId="114" fillId="16" borderId="71"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19" xfId="0" applyFont="1" applyBorder="1" applyAlignment="1">
      <alignment horizontal="center" vertical="center" wrapTex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FarkasSandorMihaly_Miskolc_2018.03.14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Farkas Sándor Mihály</v>
          </cell>
        </row>
        <row r="4">
          <cell r="C4">
            <v>34576</v>
          </cell>
        </row>
        <row r="7">
          <cell r="C7" t="str">
            <v>fssandor94@gmail.com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Farkas Sándor Mihály</v>
          </cell>
        </row>
        <row r="6">
          <cell r="C6">
            <v>34576</v>
          </cell>
        </row>
        <row r="7">
          <cell r="C7" t="str">
            <v>fssandor94@gmail.com</v>
          </cell>
        </row>
      </sheetData>
      <sheetData sheetId="20">
        <row r="5">
          <cell r="C5" t="str">
            <v>Farkas Sándor Mihály</v>
          </cell>
        </row>
        <row r="6">
          <cell r="C6">
            <v>34576</v>
          </cell>
        </row>
        <row r="7">
          <cell r="C7" t="str">
            <v>fssandor94@gmail.com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qp.hu/" TargetMode="External"/><Relationship Id="rId2" Type="http://schemas.openxmlformats.org/officeDocument/2006/relationships/hyperlink" Target="https://gaborwebstudio.hu/" TargetMode="External"/><Relationship Id="rId1" Type="http://schemas.openxmlformats.org/officeDocument/2006/relationships/hyperlink" Target="http://www.webmasters.hu/" TargetMode="External"/><Relationship Id="rId5" Type="http://schemas.openxmlformats.org/officeDocument/2006/relationships/vmlDrawing" Target="../drawings/vmlDrawing10.v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ssandor94@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90" zoomScaleNormal="90" zoomScaleSheetLayoutView="80" workbookViewId="0">
      <selection activeCell="B22" sqref="B22"/>
    </sheetView>
  </sheetViews>
  <sheetFormatPr defaultColWidth="9.140625" defaultRowHeight="15"/>
  <cols>
    <col min="1" max="1" width="11.5703125" style="76" customWidth="1"/>
    <col min="2" max="2" width="185.85546875" style="132" customWidth="1"/>
    <col min="3" max="16384" width="9.140625" style="76"/>
  </cols>
  <sheetData>
    <row r="1" spans="1:2" ht="232.5" customHeight="1">
      <c r="B1" s="131" t="s">
        <v>528</v>
      </c>
    </row>
    <row r="2" spans="1:2" ht="409.6" customHeight="1">
      <c r="B2" s="132" t="s">
        <v>415</v>
      </c>
    </row>
    <row r="3" spans="1:2" ht="75" customHeight="1">
      <c r="B3" s="330" t="s">
        <v>416</v>
      </c>
    </row>
    <row r="4" spans="1:2" ht="409.6" customHeight="1">
      <c r="B4" s="435" t="s">
        <v>532</v>
      </c>
    </row>
    <row r="5" spans="1:2" ht="292.5" customHeight="1">
      <c r="B5" s="435" t="s">
        <v>525</v>
      </c>
    </row>
    <row r="6" spans="1:2" ht="23.25" customHeight="1">
      <c r="A6" s="82" t="str">
        <f>'1.Vezetői összefoglaló'!B1</f>
        <v xml:space="preserve">1. Vezetői összefoglaló
</v>
      </c>
    </row>
    <row r="7" spans="1:2" ht="224.25" customHeight="1">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5" t="s">
        <v>283</v>
      </c>
    </row>
    <row r="29" spans="1:2" ht="16.5" customHeight="1">
      <c r="B29" s="205" t="s">
        <v>374</v>
      </c>
    </row>
    <row r="30" spans="1:2" ht="16.5" customHeight="1">
      <c r="B30" s="205" t="s">
        <v>375</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terv'!H37</f>
        <v>A termelési /szolgáltatási /működési folyamat bemutatása:</v>
      </c>
    </row>
    <row r="49" spans="1:2" ht="153" customHeight="1">
      <c r="B49" s="132"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2" t="str">
        <f>'10.a-Cash-flow 1. év'!P3</f>
        <v>10.a) Cash-flow előrejelzés 1. év
A táblázatba csak egész számokat írhat az összegeket forintban megadva.</v>
      </c>
    </row>
    <row r="75" spans="1:2" ht="316.5" customHeight="1">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2" t="str">
        <f>'10.a-Cash-flow 1. év'!P18</f>
        <v>A GINOP-5.2.3-16 felhívás alapján ide tartozik: 
- cégalapításhoz kapcsolódó ügyvédi szolgáltatás igénybe vétele,</v>
      </c>
    </row>
    <row r="77" spans="1:2" ht="42" customHeight="1">
      <c r="A77" s="82"/>
      <c r="B77" s="61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2" customFormat="1" ht="202.5" customHeight="1">
      <c r="A78" s="613"/>
      <c r="B78" s="61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2" customFormat="1" ht="61.5" customHeight="1">
      <c r="A79" s="613"/>
      <c r="B79" s="61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2" customFormat="1" ht="38.25" customHeight="1">
      <c r="A80" s="613"/>
      <c r="B80" s="616" t="str">
        <f>'10.a-Cash-flow 1. év'!P26</f>
        <v>irodai, igazgatási berendezések, felszerelések (Irodai bútor tekintetében kizárólag író- és tárgyalóasztal, szék, irattároló szekrény, polc beszerzése támogatható,)</v>
      </c>
    </row>
    <row r="81" spans="1:2" s="612" customFormat="1" ht="108" customHeight="1">
      <c r="A81" s="613"/>
      <c r="B81" s="61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2" customFormat="1" ht="38.25" customHeight="1">
      <c r="A82" s="613"/>
      <c r="B82" s="61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2" customFormat="1" ht="112.5" customHeight="1">
      <c r="A83" s="613"/>
      <c r="B83" s="61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2" customFormat="1" ht="44.25" customHeight="1">
      <c r="A84" s="613"/>
      <c r="B84" s="61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2" customFormat="1" ht="73.5" customHeight="1">
      <c r="A85" s="613"/>
      <c r="B85" s="61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2" customFormat="1" ht="44.25" customHeight="1">
      <c r="A86" s="613"/>
      <c r="B86" s="61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2" customFormat="1" ht="44.25" customHeight="1">
      <c r="A87" s="613"/>
      <c r="B87" s="616" t="str">
        <f>'10.a-Cash-flow 1. év'!P40</f>
        <v>Dokumentációs, irattárazási, archiválási költségek</v>
      </c>
    </row>
    <row r="88" spans="1:2" s="612" customFormat="1" ht="44.25" customHeight="1">
      <c r="A88" s="613"/>
      <c r="B88" s="616" t="str">
        <f>'10.a-Cash-flow 1. év'!P41</f>
        <v>Postai, telekommunikációs, adminisztrációs költségek,</v>
      </c>
    </row>
    <row r="89" spans="1:2" s="612" customFormat="1" ht="44.25" customHeight="1">
      <c r="A89" s="613"/>
      <c r="B89" s="616" t="str">
        <f>'10.a-Cash-flow 1. év'!P42</f>
        <v>Vállalatirányítási tevékenységek (könyvelés, bérszámfejtés) arányosított költségei</v>
      </c>
    </row>
    <row r="90" spans="1:2" s="612" customFormat="1" ht="44.25" customHeight="1">
      <c r="A90" s="613"/>
      <c r="B90" s="616" t="str">
        <f>'10.a-Cash-flow 1. év'!P43</f>
        <v>Közüzemi díjak és szolgáltatások, rezsi költségek, takarítás, hulladékgazdálkodás, őrzés.</v>
      </c>
    </row>
    <row r="91" spans="1:2" ht="160.5" customHeight="1">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2" t="str">
        <f>'10.a-Cash-flow 1. év'!P67</f>
        <v>• Körültekintően vegye figyelembe az ÁFA fizetés és visszaigénylés speciális körülményeit és határidejét!</v>
      </c>
    </row>
    <row r="93" spans="1:2" ht="53.25" customHeight="1">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5"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314</v>
      </c>
      <c r="B100" s="76"/>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topLeftCell="A70" zoomScaleNormal="70" zoomScaleSheetLayoutView="100" workbookViewId="0">
      <selection activeCell="C12" sqref="C12:F13"/>
    </sheetView>
  </sheetViews>
  <sheetFormatPr defaultColWidth="9.140625" defaultRowHeight="15"/>
  <cols>
    <col min="1" max="1" width="3.5703125" style="190"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4" t="s">
        <v>242</v>
      </c>
      <c r="C1" s="915"/>
      <c r="D1" s="915"/>
      <c r="E1" s="915"/>
      <c r="F1" s="916"/>
      <c r="G1" s="128" t="s">
        <v>204</v>
      </c>
    </row>
    <row r="2" spans="1:7" ht="27.75" customHeight="1" thickBot="1">
      <c r="B2" s="266" t="s">
        <v>67</v>
      </c>
      <c r="C2" s="267"/>
      <c r="D2" s="265"/>
      <c r="E2" s="265"/>
      <c r="F2" s="268"/>
      <c r="G2" s="127" t="s">
        <v>284</v>
      </c>
    </row>
    <row r="3" spans="1:7" ht="258.75" customHeight="1" thickBot="1">
      <c r="B3" s="62" t="s">
        <v>68</v>
      </c>
      <c r="C3" s="948" t="s">
        <v>673</v>
      </c>
      <c r="D3" s="949"/>
      <c r="E3" s="949"/>
      <c r="F3" s="950"/>
      <c r="G3" s="986" t="s">
        <v>285</v>
      </c>
    </row>
    <row r="4" spans="1:7" ht="21.75" customHeight="1">
      <c r="A4" s="190" t="s">
        <v>327</v>
      </c>
      <c r="B4" s="929" t="s">
        <v>343</v>
      </c>
      <c r="C4" s="198"/>
      <c r="D4" s="951" t="s">
        <v>337</v>
      </c>
      <c r="E4" s="951"/>
      <c r="F4" s="952"/>
      <c r="G4" s="987"/>
    </row>
    <row r="5" spans="1:7" ht="21.75" customHeight="1">
      <c r="B5" s="930"/>
      <c r="C5" s="199"/>
      <c r="D5" s="932" t="s">
        <v>338</v>
      </c>
      <c r="E5" s="932"/>
      <c r="F5" s="933"/>
      <c r="G5" s="987"/>
    </row>
    <row r="6" spans="1:7" ht="21.75" customHeight="1">
      <c r="B6" s="930"/>
      <c r="C6" s="199"/>
      <c r="D6" s="932" t="s">
        <v>339</v>
      </c>
      <c r="E6" s="932"/>
      <c r="F6" s="933"/>
      <c r="G6" s="987"/>
    </row>
    <row r="7" spans="1:7" ht="21.75" customHeight="1">
      <c r="B7" s="930"/>
      <c r="C7" s="199"/>
      <c r="D7" s="932" t="s">
        <v>340</v>
      </c>
      <c r="E7" s="932"/>
      <c r="F7" s="933"/>
      <c r="G7" s="987"/>
    </row>
    <row r="8" spans="1:7" ht="21.75" customHeight="1">
      <c r="B8" s="930"/>
      <c r="C8" s="199" t="s">
        <v>327</v>
      </c>
      <c r="D8" s="932" t="s">
        <v>341</v>
      </c>
      <c r="E8" s="932"/>
      <c r="F8" s="933"/>
      <c r="G8" s="987"/>
    </row>
    <row r="9" spans="1:7" ht="22.5" customHeight="1" thickBot="1">
      <c r="B9" s="931"/>
      <c r="C9" s="200"/>
      <c r="D9" s="934" t="s">
        <v>342</v>
      </c>
      <c r="E9" s="934"/>
      <c r="F9" s="935"/>
      <c r="G9" s="987"/>
    </row>
    <row r="10" spans="1:7" ht="69" customHeight="1">
      <c r="B10" s="18" t="s">
        <v>225</v>
      </c>
      <c r="C10" s="936" t="s">
        <v>674</v>
      </c>
      <c r="D10" s="937"/>
      <c r="E10" s="937"/>
      <c r="F10" s="938"/>
      <c r="G10" s="852"/>
    </row>
    <row r="11" spans="1:7" ht="65.25" customHeight="1" thickBot="1">
      <c r="B11" s="17" t="s">
        <v>69</v>
      </c>
      <c r="C11" s="939"/>
      <c r="D11" s="940"/>
      <c r="E11" s="940"/>
      <c r="F11" s="941"/>
      <c r="G11" s="852"/>
    </row>
    <row r="12" spans="1:7" ht="43.5" customHeight="1">
      <c r="B12" s="956" t="s">
        <v>70</v>
      </c>
      <c r="C12" s="942" t="s">
        <v>743</v>
      </c>
      <c r="D12" s="943"/>
      <c r="E12" s="943"/>
      <c r="F12" s="944"/>
      <c r="G12" s="852"/>
    </row>
    <row r="13" spans="1:7" ht="77.25" customHeight="1" thickBot="1">
      <c r="B13" s="957"/>
      <c r="C13" s="945"/>
      <c r="D13" s="946"/>
      <c r="E13" s="946"/>
      <c r="F13" s="947"/>
      <c r="G13" s="852"/>
    </row>
    <row r="14" spans="1:7" ht="133.5" customHeight="1" thickBot="1">
      <c r="B14" s="48" t="s">
        <v>221</v>
      </c>
      <c r="C14" s="996" t="s">
        <v>676</v>
      </c>
      <c r="D14" s="997"/>
      <c r="E14" s="997"/>
      <c r="F14" s="998"/>
      <c r="G14" s="852"/>
    </row>
    <row r="15" spans="1:7" ht="16.5" thickBot="1">
      <c r="B15" s="10"/>
      <c r="C15" s="10"/>
      <c r="G15" s="113"/>
    </row>
    <row r="16" spans="1:7" ht="26.25" customHeight="1" thickBot="1">
      <c r="B16" s="266" t="s">
        <v>71</v>
      </c>
      <c r="C16" s="267"/>
      <c r="D16" s="265"/>
      <c r="E16" s="265"/>
      <c r="F16" s="268"/>
      <c r="G16" s="114"/>
    </row>
    <row r="17" spans="1:7" ht="35.25" customHeight="1" thickBot="1">
      <c r="A17" s="189">
        <v>1000</v>
      </c>
      <c r="B17" s="46" t="s">
        <v>0</v>
      </c>
      <c r="C17" s="51">
        <f>LEN(C18)</f>
        <v>664</v>
      </c>
      <c r="D17" s="848" t="str">
        <f>IF(C17&gt;A17,CONCATENATE("Karaktertúllépés! Kérjük, válaszát maximum ",A17," karakterben foglalja össze!"),CONCATENATE("Még beírható karakterek száma:   ",A17-C17))</f>
        <v>Még beírható karakterek száma:   336</v>
      </c>
      <c r="E17" s="1018"/>
      <c r="F17" s="849"/>
    </row>
    <row r="18" spans="1:7" ht="153" customHeight="1">
      <c r="B18" s="611" t="s">
        <v>347</v>
      </c>
      <c r="C18" s="999" t="s">
        <v>677</v>
      </c>
      <c r="D18" s="920"/>
      <c r="E18" s="920"/>
      <c r="F18" s="921"/>
      <c r="G18" s="919" t="s">
        <v>396</v>
      </c>
    </row>
    <row r="19" spans="1:7" ht="137.25" customHeight="1" thickBot="1">
      <c r="B19" s="17"/>
      <c r="C19" s="995"/>
      <c r="D19" s="923"/>
      <c r="E19" s="923"/>
      <c r="F19" s="924"/>
      <c r="G19" s="919"/>
    </row>
    <row r="20" spans="1:7" ht="98.25" customHeight="1" thickBot="1">
      <c r="B20" s="47" t="s">
        <v>72</v>
      </c>
      <c r="C20" s="839" t="s">
        <v>708</v>
      </c>
      <c r="D20" s="845"/>
      <c r="E20" s="845"/>
      <c r="F20" s="840"/>
      <c r="G20" s="919"/>
    </row>
    <row r="21" spans="1:7" ht="81" customHeight="1" thickBot="1">
      <c r="B21" s="53" t="s">
        <v>222</v>
      </c>
      <c r="C21" s="1000" t="s">
        <v>675</v>
      </c>
      <c r="D21" s="1001"/>
      <c r="E21" s="1001"/>
      <c r="F21" s="1002"/>
      <c r="G21" s="919"/>
    </row>
    <row r="22" spans="1:7" ht="21.75" customHeight="1">
      <c r="A22" s="190" t="s">
        <v>327</v>
      </c>
      <c r="B22" s="917" t="s">
        <v>73</v>
      </c>
      <c r="C22" s="206"/>
      <c r="D22" s="1003" t="s">
        <v>344</v>
      </c>
      <c r="E22" s="951"/>
      <c r="F22" s="952"/>
      <c r="G22" s="982"/>
    </row>
    <row r="23" spans="1:7" ht="21.75" customHeight="1">
      <c r="B23" s="919"/>
      <c r="C23" s="207"/>
      <c r="D23" s="1004" t="s">
        <v>345</v>
      </c>
      <c r="E23" s="932"/>
      <c r="F23" s="933"/>
      <c r="G23" s="982"/>
    </row>
    <row r="24" spans="1:7" ht="21.75" customHeight="1" thickBot="1">
      <c r="B24" s="918"/>
      <c r="C24" s="208" t="s">
        <v>327</v>
      </c>
      <c r="D24" s="1005" t="s">
        <v>346</v>
      </c>
      <c r="E24" s="934"/>
      <c r="F24" s="935"/>
      <c r="G24" s="982"/>
    </row>
    <row r="25" spans="1:7" ht="30" customHeight="1">
      <c r="B25" s="917" t="s">
        <v>74</v>
      </c>
      <c r="C25" s="870" t="s">
        <v>370</v>
      </c>
      <c r="D25" s="871"/>
      <c r="E25" s="871"/>
      <c r="F25" s="1006"/>
      <c r="G25" s="919"/>
    </row>
    <row r="26" spans="1:7" ht="30" customHeight="1" thickBot="1">
      <c r="B26" s="918"/>
      <c r="C26" s="1007"/>
      <c r="D26" s="1008"/>
      <c r="E26" s="1008"/>
      <c r="F26" s="1009"/>
      <c r="G26" s="919"/>
    </row>
    <row r="27" spans="1:7" ht="71.25" customHeight="1" thickBot="1">
      <c r="B27" s="54" t="s">
        <v>75</v>
      </c>
      <c r="C27" s="1010" t="s">
        <v>370</v>
      </c>
      <c r="D27" s="1011"/>
      <c r="E27" s="1011"/>
      <c r="F27" s="1012"/>
      <c r="G27" s="919"/>
    </row>
    <row r="28" spans="1:7" ht="51.75" customHeight="1" thickBot="1">
      <c r="B28" s="52" t="s">
        <v>76</v>
      </c>
      <c r="C28" s="1010" t="s">
        <v>723</v>
      </c>
      <c r="D28" s="1011"/>
      <c r="E28" s="1011"/>
      <c r="F28" s="1012"/>
      <c r="G28" s="919"/>
    </row>
    <row r="29" spans="1:7" ht="20.25" customHeight="1">
      <c r="A29" s="190" t="s">
        <v>327</v>
      </c>
      <c r="B29" s="925" t="s">
        <v>388</v>
      </c>
      <c r="C29" s="198" t="s">
        <v>327</v>
      </c>
      <c r="D29" s="951" t="s">
        <v>328</v>
      </c>
      <c r="E29" s="951"/>
      <c r="F29" s="952"/>
    </row>
    <row r="30" spans="1:7" ht="20.25" customHeight="1">
      <c r="B30" s="919"/>
      <c r="C30" s="199" t="s">
        <v>327</v>
      </c>
      <c r="D30" s="932" t="s">
        <v>329</v>
      </c>
      <c r="E30" s="932"/>
      <c r="F30" s="933"/>
    </row>
    <row r="31" spans="1:7" ht="20.25" customHeight="1">
      <c r="B31" s="919"/>
      <c r="C31" s="199" t="s">
        <v>327</v>
      </c>
      <c r="D31" s="932" t="s">
        <v>330</v>
      </c>
      <c r="E31" s="932"/>
      <c r="F31" s="933"/>
    </row>
    <row r="32" spans="1:7" ht="20.25" customHeight="1" thickBot="1">
      <c r="B32" s="926"/>
      <c r="C32" s="200" t="s">
        <v>327</v>
      </c>
      <c r="D32" s="934" t="s">
        <v>331</v>
      </c>
      <c r="E32" s="934"/>
      <c r="F32" s="935"/>
    </row>
    <row r="33" spans="1:6" ht="20.25" customHeight="1">
      <c r="A33" s="190" t="s">
        <v>327</v>
      </c>
      <c r="B33" s="925" t="s">
        <v>389</v>
      </c>
      <c r="C33" s="198"/>
      <c r="D33" s="951" t="s">
        <v>332</v>
      </c>
      <c r="E33" s="951"/>
      <c r="F33" s="952"/>
    </row>
    <row r="34" spans="1:6" ht="20.25" customHeight="1">
      <c r="B34" s="919"/>
      <c r="C34" s="199" t="s">
        <v>327</v>
      </c>
      <c r="D34" s="932" t="s">
        <v>333</v>
      </c>
      <c r="E34" s="932"/>
      <c r="F34" s="933"/>
    </row>
    <row r="35" spans="1:6" ht="20.25" customHeight="1">
      <c r="B35" s="919"/>
      <c r="C35" s="199" t="s">
        <v>327</v>
      </c>
      <c r="D35" s="932" t="s">
        <v>334</v>
      </c>
      <c r="E35" s="932"/>
      <c r="F35" s="933"/>
    </row>
    <row r="36" spans="1:6" ht="20.25" customHeight="1">
      <c r="B36" s="919"/>
      <c r="C36" s="199" t="s">
        <v>327</v>
      </c>
      <c r="D36" s="932" t="s">
        <v>335</v>
      </c>
      <c r="E36" s="932"/>
      <c r="F36" s="933"/>
    </row>
    <row r="37" spans="1:6" ht="20.25" customHeight="1" thickBot="1">
      <c r="B37" s="926"/>
      <c r="C37" s="200" t="s">
        <v>327</v>
      </c>
      <c r="D37" s="934" t="s">
        <v>336</v>
      </c>
      <c r="E37" s="934"/>
      <c r="F37" s="935"/>
    </row>
    <row r="38" spans="1:6" ht="27" customHeight="1" thickBot="1">
      <c r="A38" s="189">
        <v>500</v>
      </c>
      <c r="B38" s="46" t="s">
        <v>0</v>
      </c>
      <c r="C38" s="222">
        <f>LEN(C39)</f>
        <v>466</v>
      </c>
      <c r="D38" s="1015" t="str">
        <f>IF(C38&gt;A38,CONCATENATE("Karaktertúllépés! Kérjük, válaszát maximum ",A38," karakterben foglalja össze!"),CONCATENATE("Még beírható karakterek száma:   ",A38-C38))</f>
        <v>Még beírható karakterek száma:   34</v>
      </c>
      <c r="E38" s="1016"/>
      <c r="F38" s="1017"/>
    </row>
    <row r="39" spans="1:6" ht="151.5" customHeight="1" thickBot="1">
      <c r="B39" s="50" t="s">
        <v>286</v>
      </c>
      <c r="C39" s="882" t="s">
        <v>645</v>
      </c>
      <c r="D39" s="883"/>
      <c r="E39" s="883"/>
      <c r="F39" s="884"/>
    </row>
    <row r="40" spans="1:6" ht="159.75" customHeight="1" thickBot="1">
      <c r="B40" s="50" t="s">
        <v>287</v>
      </c>
      <c r="C40" s="839" t="s">
        <v>720</v>
      </c>
      <c r="D40" s="845"/>
      <c r="E40" s="845"/>
      <c r="F40" s="840"/>
    </row>
    <row r="41" spans="1:6" ht="15.75" thickBot="1">
      <c r="B41" s="26"/>
      <c r="C41" s="26"/>
      <c r="D41" s="27"/>
      <c r="E41" s="28"/>
      <c r="F41" s="27"/>
    </row>
    <row r="42" spans="1:6" ht="34.5" customHeight="1" thickBot="1">
      <c r="A42" s="189">
        <v>250</v>
      </c>
      <c r="B42" s="46" t="s">
        <v>0</v>
      </c>
      <c r="C42" s="927">
        <f>LEN(E43)</f>
        <v>192</v>
      </c>
      <c r="D42" s="928"/>
      <c r="E42" s="848" t="str">
        <f>IF(C42&gt;A42,CONCATENATE("Karaktertúllépés! Kérjük, válaszát maximum ",A42," karakterben foglalja össze!"),CONCATENATE("Még beírható karakterek száma:   ",A42-C42))</f>
        <v>Még beírható karakterek száma:   58</v>
      </c>
      <c r="F42" s="849"/>
    </row>
    <row r="43" spans="1:6" ht="42" customHeight="1">
      <c r="A43" s="190" t="s">
        <v>327</v>
      </c>
      <c r="B43" s="958" t="s">
        <v>373</v>
      </c>
      <c r="C43" s="198" t="s">
        <v>327</v>
      </c>
      <c r="D43" s="195" t="s">
        <v>349</v>
      </c>
      <c r="E43" s="920" t="s">
        <v>678</v>
      </c>
      <c r="F43" s="921"/>
    </row>
    <row r="44" spans="1:6" ht="42" customHeight="1">
      <c r="B44" s="958"/>
      <c r="C44" s="199"/>
      <c r="D44" s="196" t="s">
        <v>353</v>
      </c>
      <c r="E44" s="877"/>
      <c r="F44" s="922"/>
    </row>
    <row r="45" spans="1:6" ht="42" customHeight="1">
      <c r="B45" s="958"/>
      <c r="C45" s="199"/>
      <c r="D45" s="196" t="s">
        <v>350</v>
      </c>
      <c r="E45" s="877"/>
      <c r="F45" s="922"/>
    </row>
    <row r="46" spans="1:6" ht="42" customHeight="1">
      <c r="B46" s="958"/>
      <c r="C46" s="199"/>
      <c r="D46" s="196" t="s">
        <v>352</v>
      </c>
      <c r="E46" s="877"/>
      <c r="F46" s="922"/>
    </row>
    <row r="47" spans="1:6" ht="42" customHeight="1" thickBot="1">
      <c r="B47" s="959"/>
      <c r="C47" s="200"/>
      <c r="D47" s="197" t="s">
        <v>351</v>
      </c>
      <c r="E47" s="923"/>
      <c r="F47" s="924"/>
    </row>
    <row r="48" spans="1:6" ht="16.5" thickBot="1">
      <c r="B48" s="10"/>
      <c r="C48" s="10"/>
    </row>
    <row r="49" spans="2:7" ht="25.5" customHeight="1">
      <c r="B49" s="273" t="s">
        <v>77</v>
      </c>
      <c r="C49" s="274"/>
      <c r="D49" s="260"/>
      <c r="E49" s="260"/>
      <c r="F49" s="275"/>
    </row>
    <row r="50" spans="2:7" ht="27" customHeight="1" thickBot="1">
      <c r="B50" s="960" t="s">
        <v>78</v>
      </c>
      <c r="C50" s="961"/>
      <c r="D50" s="961"/>
      <c r="E50" s="961"/>
      <c r="F50" s="962"/>
    </row>
    <row r="51" spans="2:7" ht="60.75" customHeight="1" thickBot="1">
      <c r="B51" s="21" t="s">
        <v>325</v>
      </c>
      <c r="C51" s="1013" t="s">
        <v>80</v>
      </c>
      <c r="D51" s="1014"/>
      <c r="E51" s="161" t="s">
        <v>81</v>
      </c>
      <c r="F51" s="170" t="s">
        <v>82</v>
      </c>
      <c r="G51" s="988" t="s">
        <v>397</v>
      </c>
    </row>
    <row r="52" spans="2:7" ht="60.75" customHeight="1" thickBot="1">
      <c r="B52" s="715" t="s">
        <v>662</v>
      </c>
      <c r="C52" s="995" t="s">
        <v>663</v>
      </c>
      <c r="D52" s="924"/>
      <c r="E52" s="151" t="s">
        <v>664</v>
      </c>
      <c r="F52" s="155" t="s">
        <v>721</v>
      </c>
      <c r="G52" s="989"/>
    </row>
    <row r="53" spans="2:7" ht="60.75" customHeight="1" thickBot="1">
      <c r="B53" s="716" t="s">
        <v>669</v>
      </c>
      <c r="C53" s="882" t="s">
        <v>702</v>
      </c>
      <c r="D53" s="884"/>
      <c r="E53" s="151" t="s">
        <v>703</v>
      </c>
      <c r="F53" s="155" t="s">
        <v>706</v>
      </c>
      <c r="G53" s="989"/>
    </row>
    <row r="54" spans="2:7" ht="60.75" customHeight="1" thickBot="1">
      <c r="B54" s="717" t="s">
        <v>671</v>
      </c>
      <c r="C54" s="882" t="s">
        <v>704</v>
      </c>
      <c r="D54" s="884"/>
      <c r="E54" s="156" t="s">
        <v>705</v>
      </c>
      <c r="F54" s="157" t="s">
        <v>722</v>
      </c>
      <c r="G54" s="990"/>
    </row>
    <row r="55" spans="2:7">
      <c r="B55" s="23"/>
      <c r="C55" s="23"/>
    </row>
    <row r="56" spans="2:7" ht="48" customHeight="1" thickBot="1">
      <c r="B56" s="981" t="s">
        <v>421</v>
      </c>
      <c r="C56" s="981"/>
      <c r="D56" s="981"/>
      <c r="E56" s="981"/>
      <c r="F56" s="981"/>
    </row>
    <row r="57" spans="2:7" ht="23.25" customHeight="1" thickBot="1">
      <c r="B57" s="154" t="s">
        <v>83</v>
      </c>
      <c r="C57" s="1013" t="s">
        <v>84</v>
      </c>
      <c r="D57" s="1014"/>
      <c r="E57" s="164" t="s">
        <v>85</v>
      </c>
      <c r="F57" s="120" t="s">
        <v>86</v>
      </c>
    </row>
    <row r="58" spans="2:7" ht="31.5" customHeight="1">
      <c r="B58" s="30" t="s">
        <v>79</v>
      </c>
      <c r="C58" s="1024" t="s">
        <v>667</v>
      </c>
      <c r="D58" s="968"/>
      <c r="E58" s="709" t="s">
        <v>666</v>
      </c>
      <c r="F58" s="710" t="s">
        <v>668</v>
      </c>
    </row>
    <row r="59" spans="2:7" ht="27" customHeight="1">
      <c r="B59" s="152" t="s">
        <v>665</v>
      </c>
      <c r="C59" s="1025">
        <v>149000</v>
      </c>
      <c r="D59" s="1026"/>
      <c r="E59" s="545">
        <v>50000</v>
      </c>
      <c r="F59" s="546">
        <v>30000</v>
      </c>
    </row>
    <row r="60" spans="2:7" ht="27" customHeight="1">
      <c r="B60" s="152" t="s">
        <v>670</v>
      </c>
      <c r="C60" s="1025">
        <v>190000</v>
      </c>
      <c r="D60" s="1026"/>
      <c r="E60" s="545">
        <v>70000</v>
      </c>
      <c r="F60" s="546">
        <v>50000</v>
      </c>
    </row>
    <row r="61" spans="2:7" ht="27" customHeight="1">
      <c r="B61" s="152" t="s">
        <v>672</v>
      </c>
      <c r="C61" s="1025">
        <v>100000</v>
      </c>
      <c r="D61" s="1026"/>
      <c r="E61" s="545">
        <v>80000</v>
      </c>
      <c r="F61" s="546">
        <v>25000</v>
      </c>
    </row>
    <row r="62" spans="2:7" ht="27" customHeight="1" thickBot="1">
      <c r="B62" s="153"/>
      <c r="C62" s="1027"/>
      <c r="D62" s="1028"/>
      <c r="E62" s="547"/>
      <c r="F62" s="548"/>
    </row>
    <row r="63" spans="2:7" ht="27" customHeight="1" thickBot="1">
      <c r="B63" s="169" t="s">
        <v>87</v>
      </c>
      <c r="C63" s="1029">
        <v>120000</v>
      </c>
      <c r="D63" s="1030"/>
      <c r="E63" s="549">
        <v>60000</v>
      </c>
      <c r="F63" s="550">
        <v>35000</v>
      </c>
    </row>
    <row r="64" spans="2:7" ht="11.25" customHeight="1" thickBot="1">
      <c r="B64" s="10"/>
      <c r="C64" s="10"/>
    </row>
    <row r="65" spans="1:7" ht="63.75" customHeight="1" thickBot="1">
      <c r="B65" s="22" t="s">
        <v>422</v>
      </c>
      <c r="C65" s="882" t="s">
        <v>760</v>
      </c>
      <c r="D65" s="883"/>
      <c r="E65" s="883"/>
      <c r="F65" s="884"/>
    </row>
    <row r="66" spans="1:7" ht="57" customHeight="1" thickBot="1">
      <c r="B66" s="119" t="s">
        <v>88</v>
      </c>
      <c r="C66" s="839" t="s">
        <v>679</v>
      </c>
      <c r="D66" s="845"/>
      <c r="E66" s="845"/>
      <c r="F66" s="840"/>
    </row>
    <row r="67" spans="1:7" ht="31.5" customHeight="1">
      <c r="B67" s="978" t="s">
        <v>89</v>
      </c>
      <c r="C67" s="929" t="s">
        <v>97</v>
      </c>
      <c r="D67" s="1019"/>
      <c r="E67" s="991" t="s">
        <v>426</v>
      </c>
      <c r="F67" s="993" t="s">
        <v>460</v>
      </c>
    </row>
    <row r="68" spans="1:7" ht="15.75" thickBot="1">
      <c r="B68" s="979"/>
      <c r="C68" s="1020"/>
      <c r="D68" s="1021"/>
      <c r="E68" s="992"/>
      <c r="F68" s="994"/>
    </row>
    <row r="69" spans="1:7" ht="48.75" customHeight="1" thickBot="1">
      <c r="B69" s="980"/>
      <c r="C69" s="1022">
        <v>0.1</v>
      </c>
      <c r="D69" s="1023"/>
      <c r="E69" s="723">
        <v>0.2</v>
      </c>
      <c r="F69" s="723">
        <v>0.35</v>
      </c>
    </row>
    <row r="70" spans="1:7" ht="16.5" thickBot="1">
      <c r="B70" s="10"/>
      <c r="C70" s="10"/>
    </row>
    <row r="71" spans="1:7" ht="25.5" customHeight="1">
      <c r="B71" s="276" t="s">
        <v>90</v>
      </c>
      <c r="C71" s="277"/>
      <c r="D71" s="123"/>
      <c r="E71" s="123"/>
      <c r="F71" s="124"/>
    </row>
    <row r="72" spans="1:7" ht="19.5" customHeight="1" thickBot="1">
      <c r="B72" s="953" t="s">
        <v>91</v>
      </c>
      <c r="C72" s="954"/>
      <c r="D72" s="954"/>
      <c r="E72" s="954"/>
      <c r="F72" s="955"/>
    </row>
    <row r="73" spans="1:7" ht="29.25" customHeight="1" thickBot="1">
      <c r="A73" s="189">
        <v>500</v>
      </c>
      <c r="B73" s="46" t="s">
        <v>0</v>
      </c>
      <c r="C73" s="144">
        <f>LEN(C74)</f>
        <v>487</v>
      </c>
      <c r="D73" s="848" t="str">
        <f>IF(C73&gt;A73,CONCATENATE("Karaktertúllépés! Kérjük, válaszát maximum ",A73," karakterben foglalja össze!"),CONCATENATE("Még beírható karakterek száma:   ",A73-C73))</f>
        <v>Még beírható karakterek száma:   13</v>
      </c>
      <c r="E73" s="1018"/>
      <c r="F73" s="849"/>
      <c r="G73" s="983" t="s">
        <v>398</v>
      </c>
    </row>
    <row r="74" spans="1:7" ht="129" customHeight="1" thickBot="1">
      <c r="B74" s="22" t="s">
        <v>216</v>
      </c>
      <c r="C74" s="882" t="s">
        <v>744</v>
      </c>
      <c r="D74" s="883"/>
      <c r="E74" s="883"/>
      <c r="F74" s="884"/>
      <c r="G74" s="984"/>
    </row>
    <row r="75" spans="1:7" ht="57" customHeight="1" thickBot="1">
      <c r="B75" s="20" t="s">
        <v>92</v>
      </c>
      <c r="C75" s="882" t="s">
        <v>752</v>
      </c>
      <c r="D75" s="883"/>
      <c r="E75" s="883"/>
      <c r="F75" s="884"/>
      <c r="G75" s="985"/>
    </row>
    <row r="76" spans="1:7" ht="6" customHeight="1">
      <c r="B76" s="10"/>
      <c r="C76" s="10"/>
    </row>
    <row r="77" spans="1:7" ht="24" thickBot="1">
      <c r="B77" s="25" t="s">
        <v>93</v>
      </c>
      <c r="C77" s="25"/>
    </row>
    <row r="78" spans="1:7" ht="38.25" customHeight="1" thickBot="1">
      <c r="A78" s="189">
        <v>500</v>
      </c>
      <c r="B78" s="46" t="s">
        <v>0</v>
      </c>
      <c r="C78" s="144">
        <f>LEN(C79)</f>
        <v>472</v>
      </c>
      <c r="D78" s="848" t="str">
        <f>IF(C78&gt;A78,CONCATENATE("Karaktertúllépés! Kérjük, válaszát maximum ",A78," karakterben foglalja össze!"),CONCATENATE("Még beírható karakterek száma:   ",A78-C78))</f>
        <v>Még beírható karakterek száma:   28</v>
      </c>
      <c r="E78" s="1018"/>
      <c r="F78" s="849"/>
      <c r="G78" s="983" t="s">
        <v>399</v>
      </c>
    </row>
    <row r="79" spans="1:7" ht="129.75" customHeight="1" thickBot="1">
      <c r="B79" s="31" t="s">
        <v>348</v>
      </c>
      <c r="C79" s="882" t="s">
        <v>745</v>
      </c>
      <c r="D79" s="883"/>
      <c r="E79" s="883"/>
      <c r="F79" s="884"/>
      <c r="G79" s="984"/>
    </row>
    <row r="80" spans="1:7" ht="57" customHeight="1" thickBot="1">
      <c r="B80" s="62" t="s">
        <v>94</v>
      </c>
      <c r="C80" s="839" t="s">
        <v>709</v>
      </c>
      <c r="D80" s="845"/>
      <c r="E80" s="845"/>
      <c r="F80" s="840"/>
      <c r="G80" s="985"/>
    </row>
    <row r="81" spans="2:6" ht="9" customHeight="1" thickBot="1">
      <c r="B81" s="10"/>
      <c r="C81" s="10"/>
    </row>
    <row r="82" spans="2:6" ht="18.75" customHeight="1">
      <c r="B82" s="966" t="s">
        <v>95</v>
      </c>
      <c r="C82" s="967"/>
      <c r="D82" s="968"/>
      <c r="E82" s="969" t="s">
        <v>96</v>
      </c>
      <c r="F82" s="970"/>
    </row>
    <row r="83" spans="2:6" ht="66" customHeight="1">
      <c r="B83" s="975" t="s">
        <v>713</v>
      </c>
      <c r="C83" s="976"/>
      <c r="D83" s="977"/>
      <c r="E83" s="971" t="s">
        <v>714</v>
      </c>
      <c r="F83" s="972"/>
    </row>
    <row r="84" spans="2:6" ht="66" customHeight="1">
      <c r="B84" s="975" t="s">
        <v>710</v>
      </c>
      <c r="C84" s="976"/>
      <c r="D84" s="977"/>
      <c r="E84" s="971" t="s">
        <v>724</v>
      </c>
      <c r="F84" s="972"/>
    </row>
    <row r="85" spans="2:6" ht="66" customHeight="1">
      <c r="B85" s="975" t="s">
        <v>711</v>
      </c>
      <c r="C85" s="976"/>
      <c r="D85" s="977"/>
      <c r="E85" s="971" t="s">
        <v>725</v>
      </c>
      <c r="F85" s="972"/>
    </row>
    <row r="86" spans="2:6" ht="66" customHeight="1" thickBot="1">
      <c r="B86" s="963" t="s">
        <v>712</v>
      </c>
      <c r="C86" s="964"/>
      <c r="D86" s="965"/>
      <c r="E86" s="973" t="s">
        <v>726</v>
      </c>
      <c r="F86" s="974"/>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hyperlinks>
    <hyperlink ref="B52" r:id="rId1" xr:uid="{00000000-0004-0000-0900-000000000000}"/>
    <hyperlink ref="B53" r:id="rId2" display="https://gaborwebstudio.hu" xr:uid="{00000000-0004-0000-0900-000001000000}"/>
    <hyperlink ref="B54" r:id="rId3" xr:uid="{00000000-0004-0000-0900-000002000000}"/>
  </hyperlinks>
  <printOptions horizontalCentered="1"/>
  <pageMargins left="0.23622047244094491" right="0.23622047244094491" top="0.74803149606299213" bottom="0.74803149606299213" header="0.31496062992125984" footer="0.31496062992125984"/>
  <pageSetup paperSize="9" scale="50" fitToHeight="5"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40" zoomScale="80" zoomScaleNormal="80" zoomScaleSheetLayoutView="80" workbookViewId="0">
      <selection activeCell="K34" sqref="K3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9" t="s">
        <v>245</v>
      </c>
      <c r="C1" s="860"/>
      <c r="D1" s="860"/>
      <c r="E1" s="860"/>
      <c r="F1" s="860"/>
      <c r="G1" s="860"/>
      <c r="H1" s="860"/>
      <c r="I1" s="860"/>
      <c r="J1" s="860"/>
      <c r="K1" s="860"/>
      <c r="L1" s="860"/>
      <c r="M1" s="860"/>
      <c r="N1" s="860"/>
      <c r="O1" s="861"/>
      <c r="P1" s="128" t="s">
        <v>204</v>
      </c>
    </row>
    <row r="2" spans="1:16" ht="21.75" customHeight="1" thickBot="1">
      <c r="B2" s="404"/>
      <c r="C2" s="172"/>
      <c r="D2" s="172"/>
      <c r="E2" s="172"/>
      <c r="F2" s="172"/>
      <c r="G2" s="172"/>
      <c r="H2" s="172"/>
      <c r="I2" s="172"/>
      <c r="J2" s="173"/>
      <c r="K2" s="173"/>
      <c r="L2" s="173"/>
      <c r="M2" s="172"/>
      <c r="N2" s="172"/>
      <c r="O2" s="405"/>
      <c r="P2" s="127" t="s">
        <v>284</v>
      </c>
    </row>
    <row r="3" spans="1:16" ht="239.25" hidden="1" customHeight="1" thickBot="1">
      <c r="B3" s="406" t="s">
        <v>98</v>
      </c>
      <c r="C3" s="36"/>
      <c r="D3" s="36"/>
      <c r="E3" s="36"/>
      <c r="F3" s="36"/>
      <c r="G3" s="36"/>
      <c r="H3" s="36"/>
      <c r="I3" s="36"/>
      <c r="J3" s="125"/>
      <c r="K3" s="125"/>
      <c r="L3" s="125"/>
      <c r="M3" s="36"/>
      <c r="N3" s="36"/>
      <c r="O3" s="407"/>
      <c r="P3" s="122"/>
    </row>
    <row r="4" spans="1:16" ht="27" customHeight="1">
      <c r="A4" s="190" t="s">
        <v>327</v>
      </c>
      <c r="B4" s="1031" t="s">
        <v>379</v>
      </c>
      <c r="C4" s="206"/>
      <c r="D4" s="1041" t="s">
        <v>289</v>
      </c>
      <c r="E4" s="1042"/>
      <c r="F4" s="1042"/>
      <c r="G4" s="1042"/>
      <c r="H4" s="1042"/>
      <c r="I4" s="1042"/>
      <c r="J4" s="1042"/>
      <c r="K4" s="1042"/>
      <c r="L4" s="1042"/>
      <c r="M4" s="1042"/>
      <c r="N4" s="1042"/>
      <c r="O4" s="1043"/>
      <c r="P4" s="1038" t="s">
        <v>404</v>
      </c>
    </row>
    <row r="5" spans="1:16" ht="27" customHeight="1">
      <c r="B5" s="868"/>
      <c r="C5" s="207"/>
      <c r="D5" s="1044" t="s">
        <v>290</v>
      </c>
      <c r="E5" s="1044"/>
      <c r="F5" s="1044"/>
      <c r="G5" s="1044"/>
      <c r="H5" s="1044"/>
      <c r="I5" s="1044"/>
      <c r="J5" s="1044"/>
      <c r="K5" s="1044"/>
      <c r="L5" s="1044"/>
      <c r="M5" s="1044"/>
      <c r="N5" s="1044"/>
      <c r="O5" s="1045"/>
      <c r="P5" s="1039"/>
    </row>
    <row r="6" spans="1:16" ht="27" customHeight="1">
      <c r="B6" s="868"/>
      <c r="C6" s="207" t="s">
        <v>327</v>
      </c>
      <c r="D6" s="1044" t="s">
        <v>291</v>
      </c>
      <c r="E6" s="1044"/>
      <c r="F6" s="1044"/>
      <c r="G6" s="1044"/>
      <c r="H6" s="1044"/>
      <c r="I6" s="1044"/>
      <c r="J6" s="1044"/>
      <c r="K6" s="1044"/>
      <c r="L6" s="1044"/>
      <c r="M6" s="1044"/>
      <c r="N6" s="1044"/>
      <c r="O6" s="1045"/>
      <c r="P6" s="1039"/>
    </row>
    <row r="7" spans="1:16" ht="27" customHeight="1" thickBot="1">
      <c r="B7" s="481" t="str">
        <f>IF(COUNTA(C4:C7)&gt;1,"csak 1 választ jelöljön!","kérjük, X-szel jelölje!")</f>
        <v>kérjük, X-szel jelölje!</v>
      </c>
      <c r="C7" s="208"/>
      <c r="D7" s="1046" t="s">
        <v>292</v>
      </c>
      <c r="E7" s="1046"/>
      <c r="F7" s="1046"/>
      <c r="G7" s="1046"/>
      <c r="H7" s="1046"/>
      <c r="I7" s="1046"/>
      <c r="J7" s="1046"/>
      <c r="K7" s="1046"/>
      <c r="L7" s="1046"/>
      <c r="M7" s="1046"/>
      <c r="N7" s="1046"/>
      <c r="O7" s="1047"/>
      <c r="P7" s="1039"/>
    </row>
    <row r="8" spans="1:16" ht="27" customHeight="1" thickBot="1">
      <c r="B8" s="472" t="s">
        <v>380</v>
      </c>
      <c r="C8" s="36"/>
      <c r="D8" s="36"/>
      <c r="E8" s="36"/>
      <c r="F8" s="36"/>
      <c r="G8" s="36"/>
      <c r="H8" s="36"/>
      <c r="I8" s="36"/>
      <c r="J8" s="125"/>
      <c r="K8" s="125"/>
      <c r="L8" s="125"/>
      <c r="M8" s="36"/>
      <c r="N8" s="36"/>
      <c r="O8" s="407"/>
      <c r="P8" s="1039"/>
    </row>
    <row r="9" spans="1:16" ht="26.25" customHeight="1" thickBot="1">
      <c r="A9" s="232">
        <v>500</v>
      </c>
      <c r="B9" s="482" t="s">
        <v>0</v>
      </c>
      <c r="C9" s="144">
        <f>LEN(C10)</f>
        <v>460</v>
      </c>
      <c r="D9" s="848" t="str">
        <f>IF(C9&gt;A9,CONCATENATE("Karaktertúllépés! Kérjük, válaszát maximum ",A9," karakterben foglalja össze!"),CONCATENATE("Még beírható karakterek száma:   ",A9-C9))</f>
        <v>Még beírható karakterek száma:   40</v>
      </c>
      <c r="E9" s="1018"/>
      <c r="F9" s="1018"/>
      <c r="G9" s="1018"/>
      <c r="H9" s="1018"/>
      <c r="I9" s="1018"/>
      <c r="J9" s="1018"/>
      <c r="K9" s="1018"/>
      <c r="L9" s="1018"/>
      <c r="M9" s="1018"/>
      <c r="N9" s="1018"/>
      <c r="O9" s="1084"/>
      <c r="P9" s="1039"/>
    </row>
    <row r="10" spans="1:16" ht="139.5" customHeight="1" thickBot="1">
      <c r="B10" s="481" t="s">
        <v>231</v>
      </c>
      <c r="C10" s="995" t="s">
        <v>746</v>
      </c>
      <c r="D10" s="923"/>
      <c r="E10" s="923"/>
      <c r="F10" s="923"/>
      <c r="G10" s="923"/>
      <c r="H10" s="923"/>
      <c r="I10" s="923"/>
      <c r="J10" s="923"/>
      <c r="K10" s="923"/>
      <c r="L10" s="923"/>
      <c r="M10" s="923"/>
      <c r="N10" s="923"/>
      <c r="O10" s="1086"/>
      <c r="P10" s="1040"/>
    </row>
    <row r="11" spans="1:16" ht="8.25" customHeight="1">
      <c r="B11" s="472"/>
      <c r="C11" s="36"/>
      <c r="D11" s="36"/>
      <c r="E11" s="36"/>
      <c r="F11" s="36"/>
      <c r="G11" s="36"/>
      <c r="H11" s="36"/>
      <c r="I11" s="36"/>
      <c r="J11" s="125"/>
      <c r="K11" s="125"/>
      <c r="L11" s="125"/>
      <c r="M11" s="36"/>
      <c r="N11" s="36"/>
      <c r="O11" s="407"/>
      <c r="P11" s="35"/>
    </row>
    <row r="12" spans="1:16" ht="26.25" thickBot="1">
      <c r="B12" s="472" t="s">
        <v>99</v>
      </c>
      <c r="C12" s="36"/>
      <c r="D12" s="36"/>
      <c r="E12" s="36"/>
      <c r="F12" s="36"/>
      <c r="G12" s="36"/>
      <c r="H12" s="36"/>
      <c r="I12" s="36"/>
      <c r="J12" s="125"/>
      <c r="K12" s="125"/>
      <c r="L12" s="125"/>
      <c r="M12" s="36"/>
      <c r="N12" s="36"/>
      <c r="O12" s="407"/>
      <c r="P12" s="35"/>
    </row>
    <row r="13" spans="1:16" ht="32.25" customHeight="1" thickBot="1">
      <c r="A13" s="232">
        <v>1000</v>
      </c>
      <c r="B13" s="482" t="s">
        <v>0</v>
      </c>
      <c r="C13" s="144">
        <f>LEN(C14)</f>
        <v>972</v>
      </c>
      <c r="D13" s="848" t="str">
        <f>IF(C13&gt;A13,CONCATENATE("Karaktertúllépés! Kérjük, válaszát maximum ",A13," karakterben foglalja össze!"),CONCATENATE("Még beírható karakterek száma:   ",A13-C13))</f>
        <v>Még beírható karakterek száma:   28</v>
      </c>
      <c r="E13" s="1018"/>
      <c r="F13" s="1018"/>
      <c r="G13" s="1018"/>
      <c r="H13" s="1018"/>
      <c r="I13" s="1018"/>
      <c r="J13" s="1018"/>
      <c r="K13" s="1018"/>
      <c r="L13" s="1018"/>
      <c r="M13" s="1018"/>
      <c r="N13" s="1018"/>
      <c r="O13" s="1084"/>
    </row>
    <row r="14" spans="1:16" ht="280.5" customHeight="1" thickBot="1">
      <c r="B14" s="711" t="s">
        <v>251</v>
      </c>
      <c r="C14" s="882" t="s">
        <v>646</v>
      </c>
      <c r="D14" s="883"/>
      <c r="E14" s="883"/>
      <c r="F14" s="883"/>
      <c r="G14" s="883"/>
      <c r="H14" s="883"/>
      <c r="I14" s="883"/>
      <c r="J14" s="883"/>
      <c r="K14" s="883"/>
      <c r="L14" s="883"/>
      <c r="M14" s="883"/>
      <c r="N14" s="883"/>
      <c r="O14" s="1085"/>
      <c r="P14" s="270" t="s">
        <v>294</v>
      </c>
    </row>
    <row r="15" spans="1:16" ht="18.75" customHeight="1" thickBot="1">
      <c r="B15" s="406"/>
      <c r="C15" s="36"/>
      <c r="D15" s="36"/>
      <c r="E15" s="36"/>
      <c r="F15" s="36"/>
      <c r="G15" s="36"/>
      <c r="H15" s="36"/>
      <c r="I15" s="36"/>
      <c r="J15" s="125"/>
      <c r="K15" s="125"/>
      <c r="L15" s="125"/>
      <c r="M15" s="36"/>
      <c r="N15" s="36"/>
      <c r="O15" s="407"/>
      <c r="P15" s="35"/>
    </row>
    <row r="16" spans="1:16" ht="25.5" customHeight="1" thickBot="1">
      <c r="B16" s="1087" t="s">
        <v>100</v>
      </c>
      <c r="C16" s="1088"/>
      <c r="D16" s="1088"/>
      <c r="E16" s="1088"/>
      <c r="F16" s="1088"/>
      <c r="G16" s="1088"/>
      <c r="H16" s="1088"/>
      <c r="I16" s="1088"/>
      <c r="J16" s="1088"/>
      <c r="K16" s="1088"/>
      <c r="L16" s="1088"/>
      <c r="M16" s="1088"/>
      <c r="N16" s="1089"/>
      <c r="O16" s="410" t="s">
        <v>101</v>
      </c>
      <c r="P16" s="6"/>
    </row>
    <row r="17" spans="1:16" ht="22.5" customHeight="1">
      <c r="A17" s="190" t="s">
        <v>327</v>
      </c>
      <c r="B17" s="1031" t="s">
        <v>301</v>
      </c>
      <c r="C17" s="198"/>
      <c r="D17" s="1050" t="s">
        <v>295</v>
      </c>
      <c r="E17" s="1050"/>
      <c r="F17" s="1050"/>
      <c r="G17" s="1050"/>
      <c r="H17" s="1050"/>
      <c r="I17" s="1050"/>
      <c r="J17" s="1050"/>
      <c r="K17" s="1050"/>
      <c r="L17" s="1050"/>
      <c r="M17" s="1050"/>
      <c r="N17" s="1051"/>
      <c r="O17" s="411"/>
      <c r="P17" s="1038" t="s">
        <v>304</v>
      </c>
    </row>
    <row r="18" spans="1:16" ht="22.5" customHeight="1">
      <c r="B18" s="868"/>
      <c r="C18" s="199"/>
      <c r="D18" s="1033" t="s">
        <v>296</v>
      </c>
      <c r="E18" s="1033"/>
      <c r="F18" s="1033"/>
      <c r="G18" s="1033"/>
      <c r="H18" s="1033"/>
      <c r="I18" s="1033"/>
      <c r="J18" s="1033"/>
      <c r="K18" s="1033"/>
      <c r="L18" s="1033"/>
      <c r="M18" s="1033"/>
      <c r="N18" s="1034"/>
      <c r="O18" s="412"/>
      <c r="P18" s="1048"/>
    </row>
    <row r="19" spans="1:16" ht="22.5" customHeight="1">
      <c r="B19" s="868"/>
      <c r="C19" s="199" t="s">
        <v>327</v>
      </c>
      <c r="D19" s="1033" t="s">
        <v>297</v>
      </c>
      <c r="E19" s="1033"/>
      <c r="F19" s="1033"/>
      <c r="G19" s="1033"/>
      <c r="H19" s="1033"/>
      <c r="I19" s="1033"/>
      <c r="J19" s="1033"/>
      <c r="K19" s="1033"/>
      <c r="L19" s="1033"/>
      <c r="M19" s="1033"/>
      <c r="N19" s="1034"/>
      <c r="O19" s="412">
        <v>0.6</v>
      </c>
      <c r="P19" s="1048"/>
    </row>
    <row r="20" spans="1:16" ht="22.5" customHeight="1">
      <c r="B20" s="868"/>
      <c r="C20" s="199" t="s">
        <v>327</v>
      </c>
      <c r="D20" s="1033" t="s">
        <v>298</v>
      </c>
      <c r="E20" s="1033"/>
      <c r="F20" s="1033"/>
      <c r="G20" s="1033"/>
      <c r="H20" s="1033"/>
      <c r="I20" s="1033"/>
      <c r="J20" s="1033"/>
      <c r="K20" s="1033"/>
      <c r="L20" s="1033"/>
      <c r="M20" s="1033"/>
      <c r="N20" s="1034"/>
      <c r="O20" s="412">
        <v>0.2</v>
      </c>
      <c r="P20" s="1048"/>
    </row>
    <row r="21" spans="1:16" ht="22.5" customHeight="1">
      <c r="B21" s="868"/>
      <c r="C21" s="199" t="s">
        <v>327</v>
      </c>
      <c r="D21" s="1033" t="s">
        <v>299</v>
      </c>
      <c r="E21" s="1033"/>
      <c r="F21" s="1033"/>
      <c r="G21" s="1033"/>
      <c r="H21" s="1033"/>
      <c r="I21" s="1033"/>
      <c r="J21" s="1033"/>
      <c r="K21" s="1033"/>
      <c r="L21" s="1033"/>
      <c r="M21" s="1033"/>
      <c r="N21" s="1034"/>
      <c r="O21" s="412">
        <v>0.2</v>
      </c>
      <c r="P21" s="1048"/>
    </row>
    <row r="22" spans="1:16" ht="22.5" customHeight="1">
      <c r="B22" s="868"/>
      <c r="C22" s="199"/>
      <c r="D22" s="1033" t="s">
        <v>300</v>
      </c>
      <c r="E22" s="1033"/>
      <c r="F22" s="1033"/>
      <c r="G22" s="1033"/>
      <c r="H22" s="1033"/>
      <c r="I22" s="1033"/>
      <c r="J22" s="1033"/>
      <c r="K22" s="1033"/>
      <c r="L22" s="1033"/>
      <c r="M22" s="1033"/>
      <c r="N22" s="1034"/>
      <c r="O22" s="412"/>
      <c r="P22" s="1048"/>
    </row>
    <row r="23" spans="1:16" ht="22.5" customHeight="1">
      <c r="B23" s="868"/>
      <c r="C23" s="199"/>
      <c r="D23" s="1033" t="s">
        <v>302</v>
      </c>
      <c r="E23" s="1033"/>
      <c r="F23" s="1033"/>
      <c r="G23" s="1033"/>
      <c r="H23" s="1033"/>
      <c r="I23" s="1033"/>
      <c r="J23" s="1033"/>
      <c r="K23" s="1033"/>
      <c r="L23" s="1033"/>
      <c r="M23" s="1033"/>
      <c r="N23" s="1034"/>
      <c r="O23" s="413"/>
      <c r="P23" s="1048"/>
    </row>
    <row r="24" spans="1:16" ht="22.5" customHeight="1" thickBot="1">
      <c r="B24" s="1032"/>
      <c r="C24" s="1035" t="s">
        <v>303</v>
      </c>
      <c r="D24" s="1036"/>
      <c r="E24" s="1036"/>
      <c r="F24" s="1036"/>
      <c r="G24" s="1036"/>
      <c r="H24" s="1036"/>
      <c r="I24" s="1036"/>
      <c r="J24" s="1036"/>
      <c r="K24" s="1036"/>
      <c r="L24" s="1036"/>
      <c r="M24" s="1036"/>
      <c r="N24" s="1037"/>
      <c r="O24" s="414">
        <f>SUM(O17:O23)</f>
        <v>1</v>
      </c>
      <c r="P24" s="1049"/>
    </row>
    <row r="25" spans="1:16" ht="15.75" customHeight="1" thickBot="1">
      <c r="B25" s="415"/>
      <c r="C25" s="36"/>
      <c r="D25" s="36"/>
      <c r="E25" s="36"/>
      <c r="F25" s="36"/>
      <c r="G25" s="36"/>
      <c r="H25" s="36"/>
      <c r="I25" s="36"/>
      <c r="J25" s="125"/>
      <c r="K25" s="125"/>
      <c r="L25" s="125"/>
      <c r="M25" s="36"/>
      <c r="N25" s="36"/>
      <c r="O25" s="407"/>
      <c r="P25" s="6"/>
    </row>
    <row r="26" spans="1:16" ht="26.25" thickBot="1">
      <c r="B26" s="477" t="s">
        <v>102</v>
      </c>
      <c r="C26" s="478"/>
      <c r="D26" s="478"/>
      <c r="E26" s="478"/>
      <c r="F26" s="478"/>
      <c r="G26" s="478"/>
      <c r="H26" s="478"/>
      <c r="I26" s="478"/>
      <c r="J26" s="479"/>
      <c r="K26" s="479"/>
      <c r="L26" s="479"/>
      <c r="M26" s="478"/>
      <c r="N26" s="478"/>
      <c r="O26" s="480"/>
      <c r="P26" s="6"/>
    </row>
    <row r="27" spans="1:16" ht="34.5" customHeight="1" thickBot="1">
      <c r="B27" s="1081" t="s">
        <v>293</v>
      </c>
      <c r="C27" s="1082"/>
      <c r="D27" s="1082"/>
      <c r="E27" s="1082"/>
      <c r="F27" s="1082"/>
      <c r="G27" s="1082"/>
      <c r="H27" s="1082"/>
      <c r="I27" s="1082"/>
      <c r="J27" s="1082"/>
      <c r="K27" s="1082"/>
      <c r="L27" s="1082"/>
      <c r="M27" s="1082"/>
      <c r="N27" s="1082"/>
      <c r="O27" s="1083"/>
      <c r="P27" s="1090" t="s">
        <v>461</v>
      </c>
    </row>
    <row r="28" spans="1:16" ht="42" customHeight="1" thickBot="1">
      <c r="B28" s="476" t="s">
        <v>65</v>
      </c>
      <c r="C28" s="19">
        <v>1</v>
      </c>
      <c r="D28" s="19">
        <v>2</v>
      </c>
      <c r="E28" s="19">
        <v>3</v>
      </c>
      <c r="F28" s="19">
        <v>4</v>
      </c>
      <c r="G28" s="19">
        <v>5</v>
      </c>
      <c r="H28" s="19">
        <v>6</v>
      </c>
      <c r="I28" s="19">
        <v>7</v>
      </c>
      <c r="J28" s="19">
        <v>8</v>
      </c>
      <c r="K28" s="19">
        <v>9</v>
      </c>
      <c r="L28" s="19">
        <v>10</v>
      </c>
      <c r="M28" s="19">
        <v>11</v>
      </c>
      <c r="N28" s="19">
        <v>12</v>
      </c>
      <c r="O28" s="416" t="s">
        <v>103</v>
      </c>
      <c r="P28" s="1091"/>
    </row>
    <row r="29" spans="1:16" ht="30.75" customHeight="1" thickBot="1">
      <c r="B29" s="340" t="s">
        <v>66</v>
      </c>
      <c r="C29" s="202" t="s">
        <v>169</v>
      </c>
      <c r="D29" s="202" t="s">
        <v>174</v>
      </c>
      <c r="E29" s="202" t="s">
        <v>613</v>
      </c>
      <c r="F29" s="202" t="s">
        <v>177</v>
      </c>
      <c r="G29" s="202" t="s">
        <v>181</v>
      </c>
      <c r="H29" s="202" t="s">
        <v>183</v>
      </c>
      <c r="I29" s="202" t="s">
        <v>185</v>
      </c>
      <c r="J29" s="202" t="s">
        <v>614</v>
      </c>
      <c r="K29" s="202" t="s">
        <v>615</v>
      </c>
      <c r="L29" s="202" t="s">
        <v>616</v>
      </c>
      <c r="M29" s="202" t="s">
        <v>617</v>
      </c>
      <c r="N29" s="202" t="s">
        <v>167</v>
      </c>
      <c r="O29" s="551"/>
      <c r="P29" s="1091"/>
    </row>
    <row r="30" spans="1:16" ht="43.5" customHeight="1" thickBot="1">
      <c r="B30" s="339" t="s">
        <v>647</v>
      </c>
      <c r="C30" s="203">
        <v>150</v>
      </c>
      <c r="D30" s="203">
        <v>150</v>
      </c>
      <c r="E30" s="203">
        <v>150</v>
      </c>
      <c r="F30" s="203">
        <v>150</v>
      </c>
      <c r="G30" s="203">
        <v>150</v>
      </c>
      <c r="H30" s="203">
        <v>150</v>
      </c>
      <c r="I30" s="203">
        <v>150</v>
      </c>
      <c r="J30" s="203">
        <v>150</v>
      </c>
      <c r="K30" s="203">
        <v>150</v>
      </c>
      <c r="L30" s="203">
        <v>200</v>
      </c>
      <c r="M30" s="203">
        <v>200</v>
      </c>
      <c r="N30" s="203">
        <v>200</v>
      </c>
      <c r="O30" s="418">
        <f t="shared" ref="O30:O34" si="0">SUM(C30:N30)</f>
        <v>1950</v>
      </c>
      <c r="P30" s="1091"/>
    </row>
    <row r="31" spans="1:16" ht="43.5" customHeight="1" thickBot="1">
      <c r="B31" s="339" t="s">
        <v>648</v>
      </c>
      <c r="C31" s="203">
        <v>50</v>
      </c>
      <c r="D31" s="203">
        <v>50</v>
      </c>
      <c r="E31" s="203">
        <v>50</v>
      </c>
      <c r="F31" s="203">
        <v>50</v>
      </c>
      <c r="G31" s="203">
        <v>50</v>
      </c>
      <c r="H31" s="203">
        <v>50</v>
      </c>
      <c r="I31" s="203">
        <v>50</v>
      </c>
      <c r="J31" s="203">
        <v>50</v>
      </c>
      <c r="K31" s="203">
        <v>50</v>
      </c>
      <c r="L31" s="203">
        <v>100</v>
      </c>
      <c r="M31" s="203">
        <v>100</v>
      </c>
      <c r="N31" s="203">
        <v>100</v>
      </c>
      <c r="O31" s="418">
        <f t="shared" si="0"/>
        <v>750</v>
      </c>
      <c r="P31" s="1091"/>
    </row>
    <row r="32" spans="1:16" ht="43.5" customHeight="1" thickBot="1">
      <c r="B32" s="339" t="s">
        <v>649</v>
      </c>
      <c r="C32" s="203">
        <v>50</v>
      </c>
      <c r="D32" s="203">
        <v>50</v>
      </c>
      <c r="E32" s="203">
        <v>50</v>
      </c>
      <c r="F32" s="203">
        <v>50</v>
      </c>
      <c r="G32" s="203">
        <v>50</v>
      </c>
      <c r="H32" s="203">
        <v>50</v>
      </c>
      <c r="I32" s="203">
        <v>50</v>
      </c>
      <c r="J32" s="203">
        <v>50</v>
      </c>
      <c r="K32" s="203">
        <v>50</v>
      </c>
      <c r="L32" s="203">
        <v>50</v>
      </c>
      <c r="M32" s="203">
        <v>50</v>
      </c>
      <c r="N32" s="203">
        <v>50</v>
      </c>
      <c r="O32" s="418">
        <f t="shared" si="0"/>
        <v>600</v>
      </c>
      <c r="P32" s="1091"/>
    </row>
    <row r="33" spans="2:16" ht="43.5" customHeight="1" thickBot="1">
      <c r="B33" s="339" t="s">
        <v>650</v>
      </c>
      <c r="C33" s="203">
        <v>50</v>
      </c>
      <c r="D33" s="203">
        <v>50</v>
      </c>
      <c r="E33" s="203">
        <v>50</v>
      </c>
      <c r="F33" s="203">
        <v>50</v>
      </c>
      <c r="G33" s="203">
        <v>50</v>
      </c>
      <c r="H33" s="203">
        <v>50</v>
      </c>
      <c r="I33" s="203">
        <v>50</v>
      </c>
      <c r="J33" s="203">
        <v>50</v>
      </c>
      <c r="K33" s="203">
        <v>50</v>
      </c>
      <c r="L33" s="203">
        <v>50</v>
      </c>
      <c r="M33" s="203">
        <v>50</v>
      </c>
      <c r="N33" s="203">
        <v>50</v>
      </c>
      <c r="O33" s="418">
        <f t="shared" si="0"/>
        <v>600</v>
      </c>
      <c r="P33" s="1091"/>
    </row>
    <row r="34" spans="2:16" ht="39" customHeight="1" thickBot="1">
      <c r="B34" s="340" t="s">
        <v>103</v>
      </c>
      <c r="C34" s="204">
        <f>SUM(C29:C33)</f>
        <v>300</v>
      </c>
      <c r="D34" s="204">
        <f t="shared" ref="D34:N34" si="1">SUM(D29:D33)</f>
        <v>300</v>
      </c>
      <c r="E34" s="204">
        <f t="shared" si="1"/>
        <v>300</v>
      </c>
      <c r="F34" s="204">
        <f t="shared" si="1"/>
        <v>300</v>
      </c>
      <c r="G34" s="204">
        <f t="shared" si="1"/>
        <v>300</v>
      </c>
      <c r="H34" s="204">
        <f t="shared" si="1"/>
        <v>300</v>
      </c>
      <c r="I34" s="204">
        <f t="shared" si="1"/>
        <v>300</v>
      </c>
      <c r="J34" s="204">
        <f t="shared" si="1"/>
        <v>300</v>
      </c>
      <c r="K34" s="204">
        <f t="shared" si="1"/>
        <v>300</v>
      </c>
      <c r="L34" s="204">
        <f t="shared" si="1"/>
        <v>400</v>
      </c>
      <c r="M34" s="204">
        <f t="shared" si="1"/>
        <v>400</v>
      </c>
      <c r="N34" s="204">
        <f t="shared" si="1"/>
        <v>400</v>
      </c>
      <c r="O34" s="418">
        <f t="shared" si="0"/>
        <v>3900</v>
      </c>
      <c r="P34" s="1092"/>
    </row>
    <row r="35" spans="2:16" ht="14.25" customHeight="1">
      <c r="B35" s="419"/>
      <c r="C35" s="36"/>
      <c r="D35" s="36"/>
      <c r="E35" s="36"/>
      <c r="F35" s="36"/>
      <c r="G35" s="36"/>
      <c r="H35" s="36"/>
      <c r="I35" s="36"/>
      <c r="J35" s="125"/>
      <c r="K35" s="125"/>
      <c r="L35" s="125"/>
      <c r="M35" s="36"/>
      <c r="N35" s="36"/>
      <c r="O35" s="407"/>
      <c r="P35" s="6"/>
    </row>
    <row r="36" spans="2:16" ht="26.25" thickBot="1">
      <c r="B36" s="472" t="s">
        <v>463</v>
      </c>
      <c r="C36" s="473"/>
      <c r="D36" s="473"/>
      <c r="E36" s="473"/>
      <c r="F36" s="473"/>
      <c r="G36" s="473"/>
      <c r="H36" s="473"/>
      <c r="I36" s="473"/>
      <c r="J36" s="474"/>
      <c r="K36" s="474"/>
      <c r="L36" s="474"/>
      <c r="M36" s="473"/>
      <c r="N36" s="473"/>
      <c r="O36" s="475"/>
      <c r="P36" s="6"/>
    </row>
    <row r="37" spans="2:16" ht="31.5" customHeight="1" thickBot="1">
      <c r="B37" s="1052" t="s">
        <v>250</v>
      </c>
      <c r="C37" s="1053"/>
      <c r="D37" s="1053"/>
      <c r="E37" s="1053"/>
      <c r="F37" s="1053"/>
      <c r="G37" s="1053"/>
      <c r="H37" s="1053"/>
      <c r="I37" s="1053"/>
      <c r="J37" s="1053"/>
      <c r="K37" s="1053"/>
      <c r="L37" s="1053"/>
      <c r="M37" s="1053"/>
      <c r="N37" s="1053"/>
      <c r="O37" s="1054"/>
      <c r="P37" s="1038" t="s">
        <v>523</v>
      </c>
    </row>
    <row r="38" spans="2:16" ht="24" customHeight="1" thickBot="1">
      <c r="B38" s="420"/>
      <c r="C38" s="1100">
        <v>2018</v>
      </c>
      <c r="D38" s="894"/>
      <c r="E38" s="894"/>
      <c r="F38" s="1099"/>
      <c r="G38" s="894">
        <v>2019</v>
      </c>
      <c r="H38" s="894"/>
      <c r="I38" s="1099"/>
      <c r="J38" s="1065">
        <v>2020</v>
      </c>
      <c r="K38" s="1066"/>
      <c r="L38" s="1073"/>
      <c r="M38" s="1065">
        <v>2021</v>
      </c>
      <c r="N38" s="1066"/>
      <c r="O38" s="1067"/>
      <c r="P38" s="1039"/>
    </row>
    <row r="39" spans="2:16" ht="30" customHeight="1" thickBot="1">
      <c r="B39" s="484" t="s">
        <v>462</v>
      </c>
      <c r="C39" s="1096" t="s">
        <v>104</v>
      </c>
      <c r="D39" s="1097"/>
      <c r="E39" s="1097"/>
      <c r="F39" s="1098"/>
      <c r="G39" s="1080" t="s">
        <v>104</v>
      </c>
      <c r="H39" s="906"/>
      <c r="I39" s="1072"/>
      <c r="J39" s="1068" t="s">
        <v>104</v>
      </c>
      <c r="K39" s="906"/>
      <c r="L39" s="1072"/>
      <c r="M39" s="1068" t="s">
        <v>105</v>
      </c>
      <c r="N39" s="906"/>
      <c r="O39" s="1069"/>
      <c r="P39" s="1039"/>
    </row>
    <row r="40" spans="2:16" ht="51.95" customHeight="1" thickBot="1">
      <c r="B40" s="339" t="s">
        <v>651</v>
      </c>
      <c r="C40" s="1074">
        <v>1050</v>
      </c>
      <c r="D40" s="1075"/>
      <c r="E40" s="1075"/>
      <c r="F40" s="1076"/>
      <c r="G40" s="1055">
        <v>2450</v>
      </c>
      <c r="H40" s="1056"/>
      <c r="I40" s="1057"/>
      <c r="J40" s="1078">
        <v>2750</v>
      </c>
      <c r="K40" s="1070"/>
      <c r="L40" s="1079"/>
      <c r="M40" s="1063">
        <v>3250</v>
      </c>
      <c r="N40" s="1070"/>
      <c r="O40" s="1071"/>
      <c r="P40" s="1039"/>
    </row>
    <row r="41" spans="2:16" ht="51.95" customHeight="1" thickBot="1">
      <c r="B41" s="339" t="s">
        <v>652</v>
      </c>
      <c r="C41" s="1074">
        <v>350</v>
      </c>
      <c r="D41" s="1075"/>
      <c r="E41" s="1075"/>
      <c r="F41" s="1076"/>
      <c r="G41" s="1055">
        <v>816</v>
      </c>
      <c r="H41" s="1056"/>
      <c r="I41" s="1057"/>
      <c r="J41" s="1061">
        <v>916</v>
      </c>
      <c r="K41" s="1062"/>
      <c r="L41" s="1063"/>
      <c r="M41" s="1061">
        <v>1083</v>
      </c>
      <c r="N41" s="1062"/>
      <c r="O41" s="1064"/>
      <c r="P41" s="1039"/>
    </row>
    <row r="42" spans="2:16" ht="51.95" customHeight="1" thickBot="1">
      <c r="B42" s="339" t="s">
        <v>649</v>
      </c>
      <c r="C42" s="1074">
        <v>350</v>
      </c>
      <c r="D42" s="1075"/>
      <c r="E42" s="1075"/>
      <c r="F42" s="1076"/>
      <c r="G42" s="1055">
        <v>816</v>
      </c>
      <c r="H42" s="1056"/>
      <c r="I42" s="1057"/>
      <c r="J42" s="1061">
        <v>916</v>
      </c>
      <c r="K42" s="1062"/>
      <c r="L42" s="1063"/>
      <c r="M42" s="1061">
        <v>1083</v>
      </c>
      <c r="N42" s="1062"/>
      <c r="O42" s="1064"/>
      <c r="P42" s="1039"/>
    </row>
    <row r="43" spans="2:16" ht="51.95" customHeight="1" thickBot="1">
      <c r="B43" s="339" t="s">
        <v>650</v>
      </c>
      <c r="C43" s="1074">
        <v>350</v>
      </c>
      <c r="D43" s="1075"/>
      <c r="E43" s="1075"/>
      <c r="F43" s="1076"/>
      <c r="G43" s="1055">
        <v>818</v>
      </c>
      <c r="H43" s="1056"/>
      <c r="I43" s="1057"/>
      <c r="J43" s="1061">
        <v>918</v>
      </c>
      <c r="K43" s="1062"/>
      <c r="L43" s="1063"/>
      <c r="M43" s="1061">
        <v>1084</v>
      </c>
      <c r="N43" s="1062"/>
      <c r="O43" s="1064"/>
      <c r="P43" s="1039"/>
    </row>
    <row r="44" spans="2:16" ht="41.25" customHeight="1" thickBot="1">
      <c r="B44" s="483" t="s">
        <v>103</v>
      </c>
      <c r="C44" s="1093">
        <f>SUM(C40:F43)</f>
        <v>2100</v>
      </c>
      <c r="D44" s="1094"/>
      <c r="E44" s="1094"/>
      <c r="F44" s="1095"/>
      <c r="G44" s="1058">
        <f>SUM(G40:I43)</f>
        <v>4900</v>
      </c>
      <c r="H44" s="1059"/>
      <c r="I44" s="1077"/>
      <c r="J44" s="1058">
        <f>SUM(J40:L43)</f>
        <v>5500</v>
      </c>
      <c r="K44" s="1059"/>
      <c r="L44" s="1077"/>
      <c r="M44" s="1058">
        <f>SUM(M40:O43)</f>
        <v>6500</v>
      </c>
      <c r="N44" s="1059"/>
      <c r="O44" s="1060"/>
      <c r="P44" s="1040"/>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view="pageBreakPreview" topLeftCell="A10" zoomScaleNormal="80" zoomScaleSheetLayoutView="100" workbookViewId="0">
      <selection activeCell="I23" sqref="I2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9" t="s">
        <v>243</v>
      </c>
      <c r="C1" s="860"/>
      <c r="D1" s="860"/>
      <c r="E1" s="860"/>
      <c r="F1" s="860"/>
      <c r="G1" s="860"/>
      <c r="H1" s="860"/>
      <c r="I1" s="860"/>
      <c r="J1" s="860"/>
      <c r="K1" s="860"/>
      <c r="L1" s="860"/>
      <c r="M1" s="860"/>
      <c r="N1" s="860"/>
      <c r="O1" s="861"/>
      <c r="P1" s="421" t="s">
        <v>204</v>
      </c>
    </row>
    <row r="2" spans="1:16" ht="21.75" customHeight="1" thickBot="1">
      <c r="B2" s="404"/>
      <c r="C2" s="172"/>
      <c r="D2" s="172"/>
      <c r="E2" s="172"/>
      <c r="F2" s="172"/>
      <c r="G2" s="172"/>
      <c r="H2" s="172"/>
      <c r="I2" s="172"/>
      <c r="J2" s="173"/>
      <c r="K2" s="173"/>
      <c r="L2" s="173"/>
      <c r="M2" s="172"/>
      <c r="N2" s="172"/>
      <c r="O2" s="405"/>
      <c r="P2" s="127" t="s">
        <v>284</v>
      </c>
    </row>
    <row r="3" spans="1:16" ht="239.25" hidden="1" customHeight="1" thickBot="1">
      <c r="B3" s="406" t="s">
        <v>98</v>
      </c>
      <c r="C3" s="36"/>
      <c r="D3" s="36"/>
      <c r="E3" s="36"/>
      <c r="F3" s="36"/>
      <c r="G3" s="36"/>
      <c r="H3" s="36"/>
      <c r="I3" s="36"/>
      <c r="J3" s="125"/>
      <c r="K3" s="125"/>
      <c r="L3" s="125"/>
      <c r="M3" s="36"/>
      <c r="N3" s="36"/>
      <c r="O3" s="407"/>
      <c r="P3" s="175"/>
    </row>
    <row r="4" spans="1:16" ht="36" customHeight="1" thickBot="1">
      <c r="A4" s="232">
        <v>500</v>
      </c>
      <c r="B4" s="408" t="s">
        <v>0</v>
      </c>
      <c r="C4" s="144">
        <f>LEN(C5)</f>
        <v>475</v>
      </c>
      <c r="D4" s="848" t="str">
        <f>IF(C4&gt;A4,CONCATENATE("Karaktertúllépés! Kérjük, válaszát maximum ",A4," karakterben foglalja össze!"),CONCATENATE("Még beírható karakterek száma:   ",A4-C4))</f>
        <v>Még beírható karakterek száma:   25</v>
      </c>
      <c r="E4" s="1018"/>
      <c r="F4" s="1018"/>
      <c r="G4" s="1018"/>
      <c r="H4" s="1018"/>
      <c r="I4" s="1018"/>
      <c r="J4" s="1018"/>
      <c r="K4" s="1018"/>
      <c r="L4" s="1018"/>
      <c r="M4" s="1018"/>
      <c r="N4" s="1018"/>
      <c r="O4" s="1084"/>
      <c r="P4" s="269" t="s">
        <v>255</v>
      </c>
    </row>
    <row r="5" spans="1:16" ht="182.25" customHeight="1" thickBot="1">
      <c r="B5" s="426" t="s">
        <v>233</v>
      </c>
      <c r="C5" s="995" t="s">
        <v>747</v>
      </c>
      <c r="D5" s="923"/>
      <c r="E5" s="923"/>
      <c r="F5" s="923"/>
      <c r="G5" s="923"/>
      <c r="H5" s="923"/>
      <c r="I5" s="923"/>
      <c r="J5" s="923"/>
      <c r="K5" s="923"/>
      <c r="L5" s="923"/>
      <c r="M5" s="923"/>
      <c r="N5" s="923"/>
      <c r="O5" s="1086"/>
      <c r="P5" s="270" t="s">
        <v>383</v>
      </c>
    </row>
    <row r="6" spans="1:16" ht="27.75" customHeight="1" thickBot="1">
      <c r="A6" s="232">
        <v>500</v>
      </c>
      <c r="B6" s="408" t="s">
        <v>0</v>
      </c>
      <c r="C6" s="144">
        <f>LEN(C7)</f>
        <v>465</v>
      </c>
      <c r="D6" s="848" t="str">
        <f>IF(C6&gt;A6,CONCATENATE("Karaktertúllépés! Kérjük, válaszát maximum ",A6," karakterben foglalja össze!"),CONCATENATE("Még beírható karakterek száma:   ",A6-C6))</f>
        <v>Még beírható karakterek száma:   35</v>
      </c>
      <c r="E6" s="1018"/>
      <c r="F6" s="1018"/>
      <c r="G6" s="1018"/>
      <c r="H6" s="1018"/>
      <c r="I6" s="1018"/>
      <c r="J6" s="1018"/>
      <c r="K6" s="1018"/>
      <c r="L6" s="1018"/>
      <c r="M6" s="1018"/>
      <c r="N6" s="1018"/>
      <c r="O6" s="1084"/>
      <c r="P6" s="269"/>
    </row>
    <row r="7" spans="1:16" ht="193.5" customHeight="1" thickBot="1">
      <c r="B7" s="409" t="s">
        <v>215</v>
      </c>
      <c r="C7" s="995" t="s">
        <v>748</v>
      </c>
      <c r="D7" s="923"/>
      <c r="E7" s="923"/>
      <c r="F7" s="923"/>
      <c r="G7" s="923"/>
      <c r="H7" s="923"/>
      <c r="I7" s="923"/>
      <c r="J7" s="923"/>
      <c r="K7" s="923"/>
      <c r="L7" s="923"/>
      <c r="M7" s="923"/>
      <c r="N7" s="923"/>
      <c r="O7" s="1086"/>
      <c r="P7" s="271" t="s">
        <v>382</v>
      </c>
    </row>
    <row r="8" spans="1:16" ht="11.25" customHeight="1" thickBot="1">
      <c r="B8" s="419"/>
      <c r="C8" s="36"/>
      <c r="D8" s="36"/>
      <c r="E8" s="36"/>
      <c r="F8" s="36"/>
      <c r="G8" s="36"/>
      <c r="H8" s="36"/>
      <c r="I8" s="36"/>
      <c r="J8" s="125"/>
      <c r="K8" s="125"/>
      <c r="L8" s="125"/>
      <c r="M8" s="36"/>
      <c r="N8" s="36"/>
      <c r="O8" s="407"/>
      <c r="P8" s="272"/>
    </row>
    <row r="9" spans="1:16" ht="26.25" thickBot="1">
      <c r="B9" s="472" t="s">
        <v>106</v>
      </c>
      <c r="C9" s="473"/>
      <c r="D9" s="473"/>
      <c r="E9" s="473"/>
      <c r="F9" s="473"/>
      <c r="G9" s="473"/>
      <c r="H9" s="473"/>
      <c r="I9" s="473"/>
      <c r="J9" s="474"/>
      <c r="K9" s="474"/>
      <c r="L9" s="474"/>
      <c r="M9" s="473"/>
      <c r="N9" s="473"/>
      <c r="O9" s="475"/>
      <c r="P9" s="422"/>
    </row>
    <row r="10" spans="1:16" ht="32.25" customHeight="1" thickBot="1">
      <c r="B10" s="1110" t="s">
        <v>390</v>
      </c>
      <c r="C10" s="1111"/>
      <c r="D10" s="1111"/>
      <c r="E10" s="1111"/>
      <c r="F10" s="1111"/>
      <c r="G10" s="1111"/>
      <c r="H10" s="1111"/>
      <c r="I10" s="1111"/>
      <c r="J10" s="1111"/>
      <c r="K10" s="1111"/>
      <c r="L10" s="1111"/>
      <c r="M10" s="1111"/>
      <c r="N10" s="1111"/>
      <c r="O10" s="1112"/>
      <c r="P10" s="1113" t="s">
        <v>464</v>
      </c>
    </row>
    <row r="11" spans="1:16" ht="30.75" customHeight="1" thickBot="1">
      <c r="B11" s="353" t="s">
        <v>65</v>
      </c>
      <c r="C11" s="328">
        <v>1</v>
      </c>
      <c r="D11" s="328">
        <v>2</v>
      </c>
      <c r="E11" s="328">
        <v>3</v>
      </c>
      <c r="F11" s="328">
        <v>4</v>
      </c>
      <c r="G11" s="328">
        <v>5</v>
      </c>
      <c r="H11" s="328">
        <v>6</v>
      </c>
      <c r="I11" s="328">
        <v>7</v>
      </c>
      <c r="J11" s="328">
        <v>8</v>
      </c>
      <c r="K11" s="328">
        <v>9</v>
      </c>
      <c r="L11" s="328">
        <v>10</v>
      </c>
      <c r="M11" s="328">
        <v>11</v>
      </c>
      <c r="N11" s="328">
        <v>12</v>
      </c>
      <c r="O11" s="427" t="s">
        <v>223</v>
      </c>
      <c r="P11" s="1114"/>
    </row>
    <row r="12" spans="1:16" ht="16.5" thickBot="1">
      <c r="B12" s="340" t="s">
        <v>66</v>
      </c>
      <c r="C12" s="216">
        <v>5</v>
      </c>
      <c r="D12" s="216">
        <v>6</v>
      </c>
      <c r="E12" s="216">
        <v>7</v>
      </c>
      <c r="F12" s="216">
        <v>8</v>
      </c>
      <c r="G12" s="216">
        <v>9</v>
      </c>
      <c r="H12" s="216">
        <v>10</v>
      </c>
      <c r="I12" s="216">
        <v>11</v>
      </c>
      <c r="J12" s="216">
        <v>12</v>
      </c>
      <c r="K12" s="216">
        <v>1</v>
      </c>
      <c r="L12" s="216">
        <v>2</v>
      </c>
      <c r="M12" s="216">
        <v>3</v>
      </c>
      <c r="N12" s="216">
        <v>4</v>
      </c>
      <c r="O12" s="417"/>
      <c r="P12" s="1114"/>
    </row>
    <row r="13" spans="1:16" ht="16.5" thickBot="1">
      <c r="B13" s="339" t="s">
        <v>107</v>
      </c>
      <c r="C13" s="216"/>
      <c r="D13" s="216"/>
      <c r="E13" s="216"/>
      <c r="F13" s="216"/>
      <c r="G13" s="216"/>
      <c r="H13" s="216"/>
      <c r="I13" s="216"/>
      <c r="J13" s="216"/>
      <c r="K13" s="216"/>
      <c r="L13" s="216"/>
      <c r="M13" s="216"/>
      <c r="N13" s="216"/>
      <c r="O13" s="417">
        <f t="shared" ref="O13:O29" si="0">SUM(C13:N13)</f>
        <v>0</v>
      </c>
      <c r="P13" s="1114"/>
    </row>
    <row r="14" spans="1:16" ht="16.5" thickBot="1">
      <c r="B14" s="339" t="s">
        <v>108</v>
      </c>
      <c r="C14" s="216"/>
      <c r="D14" s="216"/>
      <c r="E14" s="216"/>
      <c r="F14" s="216"/>
      <c r="G14" s="216"/>
      <c r="H14" s="216"/>
      <c r="I14" s="216"/>
      <c r="J14" s="216"/>
      <c r="K14" s="216"/>
      <c r="L14" s="216"/>
      <c r="M14" s="216"/>
      <c r="N14" s="216"/>
      <c r="O14" s="417">
        <f t="shared" si="0"/>
        <v>0</v>
      </c>
      <c r="P14" s="1114"/>
    </row>
    <row r="15" spans="1:16" ht="16.5" thickBot="1">
      <c r="B15" s="339" t="s">
        <v>109</v>
      </c>
      <c r="C15" s="216"/>
      <c r="D15" s="216"/>
      <c r="E15" s="216"/>
      <c r="F15" s="216"/>
      <c r="G15" s="216"/>
      <c r="H15" s="216"/>
      <c r="I15" s="216"/>
      <c r="J15" s="216"/>
      <c r="K15" s="216"/>
      <c r="L15" s="216"/>
      <c r="M15" s="216"/>
      <c r="N15" s="216"/>
      <c r="O15" s="417">
        <f t="shared" si="0"/>
        <v>0</v>
      </c>
      <c r="P15" s="1114"/>
    </row>
    <row r="16" spans="1:16" ht="16.5" thickBot="1">
      <c r="B16" s="339" t="s">
        <v>110</v>
      </c>
      <c r="C16" s="216"/>
      <c r="D16" s="216"/>
      <c r="E16" s="216"/>
      <c r="F16" s="216"/>
      <c r="G16" s="216"/>
      <c r="H16" s="216"/>
      <c r="I16" s="216"/>
      <c r="J16" s="216"/>
      <c r="K16" s="216"/>
      <c r="L16" s="216"/>
      <c r="M16" s="216"/>
      <c r="N16" s="216"/>
      <c r="O16" s="417">
        <f t="shared" si="0"/>
        <v>0</v>
      </c>
      <c r="P16" s="1114"/>
    </row>
    <row r="17" spans="2:16" ht="16.5" thickBot="1">
      <c r="B17" s="339" t="s">
        <v>111</v>
      </c>
      <c r="C17" s="216"/>
      <c r="D17" s="216"/>
      <c r="E17" s="216"/>
      <c r="F17" s="216"/>
      <c r="G17" s="216"/>
      <c r="H17" s="216"/>
      <c r="I17" s="216"/>
      <c r="J17" s="216"/>
      <c r="K17" s="216"/>
      <c r="L17" s="216"/>
      <c r="M17" s="216"/>
      <c r="N17" s="216"/>
      <c r="O17" s="417">
        <f t="shared" si="0"/>
        <v>0</v>
      </c>
      <c r="P17" s="1114"/>
    </row>
    <row r="18" spans="2:16" ht="16.5" thickBot="1">
      <c r="B18" s="339" t="s">
        <v>112</v>
      </c>
      <c r="C18" s="216"/>
      <c r="D18" s="216"/>
      <c r="E18" s="216"/>
      <c r="F18" s="216"/>
      <c r="G18" s="216"/>
      <c r="H18" s="216"/>
      <c r="I18" s="216"/>
      <c r="J18" s="216"/>
      <c r="K18" s="216"/>
      <c r="L18" s="216"/>
      <c r="M18" s="216"/>
      <c r="N18" s="216"/>
      <c r="O18" s="417">
        <f t="shared" si="0"/>
        <v>0</v>
      </c>
      <c r="P18" s="1114"/>
    </row>
    <row r="19" spans="2:16" ht="16.5" thickBot="1">
      <c r="B19" s="339" t="s">
        <v>113</v>
      </c>
      <c r="C19" s="216"/>
      <c r="D19" s="216"/>
      <c r="E19" s="216"/>
      <c r="F19" s="216"/>
      <c r="G19" s="216"/>
      <c r="H19" s="216"/>
      <c r="I19" s="216"/>
      <c r="J19" s="216"/>
      <c r="K19" s="216"/>
      <c r="L19" s="216"/>
      <c r="M19" s="216"/>
      <c r="N19" s="216"/>
      <c r="O19" s="417">
        <f t="shared" si="0"/>
        <v>0</v>
      </c>
      <c r="P19" s="1114"/>
    </row>
    <row r="20" spans="2:16" ht="16.5" thickBot="1">
      <c r="B20" s="339" t="s">
        <v>114</v>
      </c>
      <c r="C20" s="216"/>
      <c r="D20" s="216"/>
      <c r="E20" s="216"/>
      <c r="F20" s="216"/>
      <c r="G20" s="216"/>
      <c r="H20" s="216"/>
      <c r="I20" s="216"/>
      <c r="J20" s="216"/>
      <c r="K20" s="216"/>
      <c r="L20" s="216"/>
      <c r="M20" s="216"/>
      <c r="N20" s="216"/>
      <c r="O20" s="417">
        <f t="shared" si="0"/>
        <v>0</v>
      </c>
      <c r="P20" s="1115"/>
    </row>
    <row r="21" spans="2:16" ht="16.5" thickBot="1">
      <c r="B21" s="339" t="s">
        <v>629</v>
      </c>
      <c r="C21" s="216"/>
      <c r="D21" s="216"/>
      <c r="E21" s="216"/>
      <c r="F21" s="216"/>
      <c r="G21" s="216"/>
      <c r="H21" s="216"/>
      <c r="I21" s="216"/>
      <c r="J21" s="216"/>
      <c r="K21" s="216"/>
      <c r="L21" s="216"/>
      <c r="M21" s="216"/>
      <c r="N21" s="216"/>
      <c r="O21" s="417">
        <f t="shared" si="0"/>
        <v>0</v>
      </c>
      <c r="P21" s="423"/>
    </row>
    <row r="22" spans="2:16" ht="16.5" thickBot="1">
      <c r="B22" s="469" t="s">
        <v>115</v>
      </c>
      <c r="C22" s="217"/>
      <c r="D22" s="217"/>
      <c r="E22" s="217"/>
      <c r="F22" s="217"/>
      <c r="G22" s="217"/>
      <c r="H22" s="217"/>
      <c r="I22" s="217"/>
      <c r="J22" s="217"/>
      <c r="K22" s="217"/>
      <c r="L22" s="217"/>
      <c r="M22" s="217"/>
      <c r="N22" s="217"/>
      <c r="O22" s="428">
        <f t="shared" si="0"/>
        <v>0</v>
      </c>
      <c r="P22" s="424"/>
    </row>
    <row r="23" spans="2:16" ht="16.5" customHeight="1" thickBot="1">
      <c r="B23" s="470" t="s">
        <v>116</v>
      </c>
      <c r="C23" s="218"/>
      <c r="D23" s="218"/>
      <c r="E23" s="218"/>
      <c r="F23" s="218">
        <v>22</v>
      </c>
      <c r="G23" s="218">
        <v>22</v>
      </c>
      <c r="H23" s="218">
        <v>23</v>
      </c>
      <c r="I23" s="218">
        <v>23</v>
      </c>
      <c r="J23" s="218"/>
      <c r="K23" s="218"/>
      <c r="L23" s="218"/>
      <c r="M23" s="218"/>
      <c r="N23" s="218"/>
      <c r="O23" s="429">
        <f t="shared" si="0"/>
        <v>90</v>
      </c>
      <c r="P23" s="424"/>
    </row>
    <row r="24" spans="2:16" ht="16.5" thickBot="1">
      <c r="B24" s="470" t="s">
        <v>117</v>
      </c>
      <c r="C24" s="218"/>
      <c r="D24" s="218"/>
      <c r="E24" s="218"/>
      <c r="F24" s="218"/>
      <c r="G24" s="218"/>
      <c r="H24" s="218"/>
      <c r="I24" s="218"/>
      <c r="J24" s="218"/>
      <c r="K24" s="218"/>
      <c r="L24" s="218"/>
      <c r="M24" s="218"/>
      <c r="N24" s="218"/>
      <c r="O24" s="429">
        <f t="shared" si="0"/>
        <v>0</v>
      </c>
      <c r="P24" s="424"/>
    </row>
    <row r="25" spans="2:16" ht="16.5" thickBot="1">
      <c r="B25" s="339" t="s">
        <v>118</v>
      </c>
      <c r="C25" s="216"/>
      <c r="D25" s="216"/>
      <c r="E25" s="216"/>
      <c r="F25" s="216"/>
      <c r="G25" s="216"/>
      <c r="H25" s="216"/>
      <c r="I25" s="216"/>
      <c r="J25" s="216"/>
      <c r="K25" s="216"/>
      <c r="L25" s="216"/>
      <c r="M25" s="216"/>
      <c r="N25" s="216"/>
      <c r="O25" s="417">
        <f t="shared" si="0"/>
        <v>0</v>
      </c>
      <c r="P25" s="424"/>
    </row>
    <row r="26" spans="2:16" ht="16.5" thickBot="1">
      <c r="B26" s="339" t="s">
        <v>119</v>
      </c>
      <c r="C26" s="216"/>
      <c r="D26" s="216"/>
      <c r="E26" s="216"/>
      <c r="F26" s="216"/>
      <c r="G26" s="216"/>
      <c r="H26" s="216"/>
      <c r="I26" s="216"/>
      <c r="J26" s="216"/>
      <c r="K26" s="216"/>
      <c r="L26" s="216"/>
      <c r="M26" s="216"/>
      <c r="N26" s="216"/>
      <c r="O26" s="417">
        <f t="shared" si="0"/>
        <v>0</v>
      </c>
      <c r="P26" s="424"/>
    </row>
    <row r="27" spans="2:16" ht="16.5" thickBot="1">
      <c r="B27" s="339" t="s">
        <v>120</v>
      </c>
      <c r="C27" s="216"/>
      <c r="D27" s="216"/>
      <c r="E27" s="216"/>
      <c r="F27" s="216"/>
      <c r="G27" s="216"/>
      <c r="H27" s="216"/>
      <c r="I27" s="216"/>
      <c r="J27" s="216"/>
      <c r="K27" s="216"/>
      <c r="L27" s="216"/>
      <c r="M27" s="216"/>
      <c r="N27" s="216"/>
      <c r="O27" s="417">
        <f t="shared" si="0"/>
        <v>0</v>
      </c>
      <c r="P27" s="424"/>
    </row>
    <row r="28" spans="2:16" ht="16.5" thickBot="1">
      <c r="B28" s="339" t="s">
        <v>121</v>
      </c>
      <c r="C28" s="216"/>
      <c r="D28" s="216"/>
      <c r="E28" s="216"/>
      <c r="F28" s="216"/>
      <c r="G28" s="216"/>
      <c r="H28" s="216"/>
      <c r="I28" s="216"/>
      <c r="J28" s="216"/>
      <c r="K28" s="216"/>
      <c r="L28" s="216"/>
      <c r="M28" s="216"/>
      <c r="N28" s="216"/>
      <c r="O28" s="417">
        <f t="shared" si="0"/>
        <v>0</v>
      </c>
      <c r="P28" s="424"/>
    </row>
    <row r="29" spans="2:16" ht="23.25" customHeight="1" thickBot="1">
      <c r="B29" s="471" t="s">
        <v>381</v>
      </c>
      <c r="C29" s="219">
        <f>SUM(C13:C28)</f>
        <v>0</v>
      </c>
      <c r="D29" s="219">
        <f t="shared" ref="D29:N29" si="1">SUM(D13:D28)</f>
        <v>0</v>
      </c>
      <c r="E29" s="219">
        <f t="shared" si="1"/>
        <v>0</v>
      </c>
      <c r="F29" s="219">
        <f t="shared" si="1"/>
        <v>22</v>
      </c>
      <c r="G29" s="219">
        <f t="shared" si="1"/>
        <v>22</v>
      </c>
      <c r="H29" s="219">
        <f t="shared" si="1"/>
        <v>23</v>
      </c>
      <c r="I29" s="219">
        <f t="shared" si="1"/>
        <v>23</v>
      </c>
      <c r="J29" s="219">
        <f t="shared" si="1"/>
        <v>0</v>
      </c>
      <c r="K29" s="219">
        <f t="shared" si="1"/>
        <v>0</v>
      </c>
      <c r="L29" s="219">
        <f t="shared" si="1"/>
        <v>0</v>
      </c>
      <c r="M29" s="219">
        <f t="shared" si="1"/>
        <v>0</v>
      </c>
      <c r="N29" s="219">
        <f t="shared" si="1"/>
        <v>0</v>
      </c>
      <c r="O29" s="430">
        <f t="shared" si="0"/>
        <v>90</v>
      </c>
      <c r="P29" s="425"/>
    </row>
    <row r="30" spans="2:16" ht="14.25" customHeight="1">
      <c r="B30" s="431"/>
      <c r="C30" s="36"/>
      <c r="D30" s="36"/>
      <c r="E30" s="36"/>
      <c r="F30" s="36"/>
      <c r="G30" s="36"/>
      <c r="H30" s="36"/>
      <c r="I30" s="36"/>
      <c r="J30" s="125"/>
      <c r="K30" s="125"/>
      <c r="L30" s="125"/>
      <c r="M30" s="36"/>
      <c r="N30" s="36"/>
      <c r="O30" s="407"/>
      <c r="P30" s="423"/>
    </row>
    <row r="31" spans="2:16" ht="26.25" customHeight="1" thickBot="1">
      <c r="B31" s="406" t="s">
        <v>249</v>
      </c>
      <c r="C31" s="36"/>
      <c r="D31" s="36"/>
      <c r="E31" s="36"/>
      <c r="F31" s="36"/>
      <c r="G31" s="36"/>
      <c r="H31" s="36"/>
      <c r="I31" s="36"/>
      <c r="J31" s="125"/>
      <c r="K31" s="125"/>
      <c r="L31" s="125"/>
      <c r="M31" s="36"/>
      <c r="N31" s="36"/>
      <c r="O31" s="407"/>
      <c r="P31" s="126"/>
    </row>
    <row r="32" spans="2:16" ht="30.75" customHeight="1" thickBot="1">
      <c r="B32" s="432" t="s">
        <v>3</v>
      </c>
      <c r="C32" s="1100" t="s">
        <v>4</v>
      </c>
      <c r="D32" s="894"/>
      <c r="E32" s="894"/>
      <c r="F32" s="894"/>
      <c r="G32" s="894"/>
      <c r="H32" s="894"/>
      <c r="I32" s="894"/>
      <c r="J32" s="894"/>
      <c r="K32" s="894"/>
      <c r="L32" s="894"/>
      <c r="M32" s="894"/>
      <c r="N32" s="894"/>
      <c r="O32" s="895"/>
      <c r="P32" s="1101" t="s">
        <v>305</v>
      </c>
    </row>
    <row r="33" spans="2:16" ht="188.25" customHeight="1" thickBot="1">
      <c r="B33" s="433" t="s">
        <v>681</v>
      </c>
      <c r="C33" s="1107" t="s">
        <v>682</v>
      </c>
      <c r="D33" s="1108"/>
      <c r="E33" s="1108"/>
      <c r="F33" s="1108"/>
      <c r="G33" s="1108"/>
      <c r="H33" s="1108"/>
      <c r="I33" s="1108"/>
      <c r="J33" s="1108"/>
      <c r="K33" s="1108"/>
      <c r="L33" s="1108"/>
      <c r="M33" s="1108"/>
      <c r="N33" s="1108"/>
      <c r="O33" s="1109"/>
      <c r="P33" s="1102"/>
    </row>
    <row r="34" spans="2:16" ht="188.25" customHeight="1" thickBot="1">
      <c r="B34" s="433" t="s">
        <v>683</v>
      </c>
      <c r="C34" s="1107" t="s">
        <v>684</v>
      </c>
      <c r="D34" s="1108"/>
      <c r="E34" s="1108"/>
      <c r="F34" s="1108"/>
      <c r="G34" s="1108"/>
      <c r="H34" s="1108"/>
      <c r="I34" s="1108"/>
      <c r="J34" s="1108"/>
      <c r="K34" s="1108"/>
      <c r="L34" s="1108"/>
      <c r="M34" s="1108"/>
      <c r="N34" s="1108"/>
      <c r="O34" s="1109"/>
      <c r="P34" s="1103"/>
    </row>
    <row r="35" spans="2:16" ht="188.25" customHeight="1" thickBot="1">
      <c r="B35" s="434" t="s">
        <v>685</v>
      </c>
      <c r="C35" s="1104" t="s">
        <v>707</v>
      </c>
      <c r="D35" s="1105"/>
      <c r="E35" s="1105"/>
      <c r="F35" s="1105"/>
      <c r="G35" s="1105"/>
      <c r="H35" s="1105"/>
      <c r="I35" s="1105"/>
      <c r="J35" s="1105"/>
      <c r="K35" s="1105"/>
      <c r="L35" s="1105"/>
      <c r="M35" s="1105"/>
      <c r="N35" s="1105"/>
      <c r="O35" s="1106"/>
      <c r="P35" s="422"/>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view="pageBreakPreview" zoomScale="60" zoomScaleNormal="60" workbookViewId="0">
      <pane xSplit="2" ySplit="4" topLeftCell="C5" activePane="bottomRight" state="frozen"/>
      <selection activeCell="B13" sqref="B13"/>
      <selection pane="topRight" activeCell="B13" sqref="B13"/>
      <selection pane="bottomLeft" activeCell="B13" sqref="B13"/>
      <selection pane="bottomRight" activeCell="G8" sqref="G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6" t="s">
        <v>244</v>
      </c>
      <c r="C1" s="292"/>
      <c r="D1" s="292"/>
      <c r="E1" s="292"/>
      <c r="F1" s="292"/>
      <c r="G1" s="292"/>
      <c r="H1" s="292"/>
      <c r="I1" s="292"/>
      <c r="J1" s="292"/>
      <c r="K1" s="292"/>
      <c r="L1" s="292"/>
      <c r="M1" s="292"/>
      <c r="N1" s="292"/>
      <c r="O1" s="293"/>
      <c r="P1" s="128" t="s">
        <v>204</v>
      </c>
    </row>
    <row r="2" spans="1:16" ht="20.25" customHeight="1" thickBot="1">
      <c r="A2" s="5"/>
      <c r="B2" s="320" t="s">
        <v>686</v>
      </c>
      <c r="C2" s="321">
        <v>1</v>
      </c>
      <c r="D2" s="321">
        <v>2</v>
      </c>
      <c r="E2" s="321">
        <v>3</v>
      </c>
      <c r="F2" s="321">
        <v>4</v>
      </c>
      <c r="G2" s="322">
        <v>5</v>
      </c>
      <c r="H2" s="322">
        <v>6</v>
      </c>
      <c r="I2" s="322">
        <v>7</v>
      </c>
      <c r="J2" s="322">
        <v>8</v>
      </c>
      <c r="K2" s="322">
        <v>9</v>
      </c>
      <c r="L2" s="322">
        <v>10</v>
      </c>
      <c r="M2" s="322">
        <v>11</v>
      </c>
      <c r="N2" s="322">
        <v>12</v>
      </c>
      <c r="O2" s="323" t="s">
        <v>104</v>
      </c>
      <c r="P2" s="127" t="s">
        <v>281</v>
      </c>
    </row>
    <row r="3" spans="1:16" ht="24.75" customHeight="1" thickBot="1">
      <c r="A3" s="5"/>
      <c r="B3" s="309" t="s">
        <v>308</v>
      </c>
      <c r="C3" s="324" t="s">
        <v>123</v>
      </c>
      <c r="D3" s="324" t="s">
        <v>124</v>
      </c>
      <c r="E3" s="324" t="s">
        <v>125</v>
      </c>
      <c r="F3" s="324" t="s">
        <v>126</v>
      </c>
      <c r="G3" s="324" t="s">
        <v>127</v>
      </c>
      <c r="H3" s="324" t="s">
        <v>128</v>
      </c>
      <c r="I3" s="324" t="s">
        <v>129</v>
      </c>
      <c r="J3" s="324" t="s">
        <v>211</v>
      </c>
      <c r="K3" s="324" t="s">
        <v>307</v>
      </c>
      <c r="L3" s="324" t="s">
        <v>212</v>
      </c>
      <c r="M3" s="324" t="s">
        <v>213</v>
      </c>
      <c r="N3" s="324" t="s">
        <v>214</v>
      </c>
      <c r="O3" s="325" t="s">
        <v>224</v>
      </c>
      <c r="P3" s="1038" t="s">
        <v>517</v>
      </c>
    </row>
    <row r="4" spans="1:16" ht="28.5" customHeight="1" thickBot="1">
      <c r="A4" s="5"/>
      <c r="B4" s="18" t="s">
        <v>130</v>
      </c>
      <c r="C4" s="317"/>
      <c r="D4" s="317"/>
      <c r="E4" s="317"/>
      <c r="F4" s="317"/>
      <c r="G4" s="318"/>
      <c r="H4" s="318"/>
      <c r="I4" s="318"/>
      <c r="J4" s="318"/>
      <c r="K4" s="318"/>
      <c r="L4" s="318"/>
      <c r="M4" s="318"/>
      <c r="N4" s="318"/>
      <c r="O4" s="319"/>
      <c r="P4" s="1116"/>
    </row>
    <row r="5" spans="1:16" ht="27.75" customHeight="1">
      <c r="A5" s="5"/>
      <c r="B5" s="590" t="s">
        <v>131</v>
      </c>
      <c r="C5" s="601"/>
      <c r="D5" s="295">
        <f t="shared" ref="D5:E5" si="0">C71</f>
        <v>0</v>
      </c>
      <c r="E5" s="295">
        <f t="shared" si="0"/>
        <v>0</v>
      </c>
      <c r="F5" s="295">
        <f t="shared" ref="F5" si="1">E71</f>
        <v>0</v>
      </c>
      <c r="G5" s="295">
        <f t="shared" ref="G5" si="2">F71</f>
        <v>0</v>
      </c>
      <c r="H5" s="295">
        <f t="shared" ref="H5" si="3">G71</f>
        <v>291730</v>
      </c>
      <c r="I5" s="295">
        <f t="shared" ref="I5" si="4">H71</f>
        <v>330230</v>
      </c>
      <c r="J5" s="295">
        <f t="shared" ref="J5" si="5">I71</f>
        <v>368730</v>
      </c>
      <c r="K5" s="295">
        <f t="shared" ref="K5" si="6">J71</f>
        <v>317017</v>
      </c>
      <c r="L5" s="295">
        <f t="shared" ref="L5" si="7">K71</f>
        <v>355517</v>
      </c>
      <c r="M5" s="295">
        <f t="shared" ref="M5" si="8">L71</f>
        <v>794017</v>
      </c>
      <c r="N5" s="295">
        <f t="shared" ref="N5" si="9">M71</f>
        <v>132517</v>
      </c>
      <c r="O5" s="541"/>
      <c r="P5" s="741" t="s">
        <v>501</v>
      </c>
    </row>
    <row r="6" spans="1:16" ht="27" customHeight="1">
      <c r="A6" s="5"/>
      <c r="B6" s="591" t="s">
        <v>132</v>
      </c>
      <c r="C6" s="583"/>
      <c r="D6" s="294"/>
      <c r="E6" s="294"/>
      <c r="F6" s="294"/>
      <c r="G6" s="294"/>
      <c r="H6" s="294">
        <v>300000</v>
      </c>
      <c r="I6" s="294">
        <v>300000</v>
      </c>
      <c r="J6" s="294">
        <v>300000</v>
      </c>
      <c r="K6" s="294">
        <v>300000</v>
      </c>
      <c r="L6" s="300">
        <v>300000</v>
      </c>
      <c r="M6" s="300">
        <v>300000</v>
      </c>
      <c r="N6" s="300">
        <v>300000</v>
      </c>
      <c r="O6" s="297">
        <f>SUM(C6:N6)</f>
        <v>2100000</v>
      </c>
      <c r="P6" s="742"/>
    </row>
    <row r="7" spans="1:16" ht="32.25" customHeight="1">
      <c r="A7" s="5"/>
      <c r="B7" s="500" t="s">
        <v>133</v>
      </c>
      <c r="C7" s="583"/>
      <c r="D7" s="294"/>
      <c r="E7" s="294"/>
      <c r="F7" s="294"/>
      <c r="G7" s="294"/>
      <c r="H7" s="294"/>
      <c r="I7" s="294"/>
      <c r="J7" s="294"/>
      <c r="K7" s="300"/>
      <c r="L7" s="300"/>
      <c r="M7" s="300"/>
      <c r="N7" s="300"/>
      <c r="O7" s="297">
        <f t="shared" ref="O7:O11" si="10">SUM(C7:N7)</f>
        <v>0</v>
      </c>
      <c r="P7" s="742"/>
    </row>
    <row r="8" spans="1:16" ht="32.25" customHeight="1">
      <c r="A8" s="5"/>
      <c r="B8" s="500" t="s">
        <v>134</v>
      </c>
      <c r="C8" s="583"/>
      <c r="D8" s="294"/>
      <c r="E8" s="294"/>
      <c r="F8" s="294"/>
      <c r="G8" s="294">
        <v>1499850</v>
      </c>
      <c r="H8" s="294"/>
      <c r="I8" s="294"/>
      <c r="J8" s="294"/>
      <c r="K8" s="300"/>
      <c r="L8" s="300"/>
      <c r="M8" s="300"/>
      <c r="N8" s="300"/>
      <c r="O8" s="297">
        <f t="shared" si="10"/>
        <v>1499850</v>
      </c>
      <c r="P8" s="742"/>
    </row>
    <row r="9" spans="1:16" ht="32.25" customHeight="1">
      <c r="A9" s="5"/>
      <c r="B9" s="500" t="s">
        <v>135</v>
      </c>
      <c r="C9" s="583"/>
      <c r="D9" s="294"/>
      <c r="E9" s="294"/>
      <c r="F9" s="294"/>
      <c r="G9" s="294"/>
      <c r="H9" s="294"/>
      <c r="I9" s="294"/>
      <c r="J9" s="294"/>
      <c r="K9" s="300"/>
      <c r="L9" s="300"/>
      <c r="M9" s="300"/>
      <c r="N9" s="300"/>
      <c r="O9" s="297">
        <f t="shared" si="10"/>
        <v>0</v>
      </c>
      <c r="P9" s="742"/>
    </row>
    <row r="10" spans="1:16" ht="32.25" customHeight="1">
      <c r="A10" s="5"/>
      <c r="B10" s="625" t="s">
        <v>717</v>
      </c>
      <c r="C10" s="583"/>
      <c r="D10" s="294"/>
      <c r="E10" s="294"/>
      <c r="F10" s="294"/>
      <c r="G10" s="294">
        <v>333000</v>
      </c>
      <c r="H10" s="294"/>
      <c r="I10" s="294"/>
      <c r="J10" s="294"/>
      <c r="K10" s="300"/>
      <c r="L10" s="300">
        <v>400000</v>
      </c>
      <c r="M10" s="300"/>
      <c r="N10" s="300"/>
      <c r="O10" s="297">
        <f t="shared" si="10"/>
        <v>733000</v>
      </c>
      <c r="P10" s="742"/>
    </row>
    <row r="11" spans="1:16" ht="32.25" customHeight="1" thickBot="1">
      <c r="A11" s="5"/>
      <c r="B11" s="591" t="s">
        <v>137</v>
      </c>
      <c r="C11" s="604"/>
      <c r="D11" s="298"/>
      <c r="E11" s="298"/>
      <c r="F11" s="298"/>
      <c r="G11" s="298"/>
      <c r="H11" s="298"/>
      <c r="I11" s="298"/>
      <c r="J11" s="298"/>
      <c r="K11" s="298"/>
      <c r="L11" s="298"/>
      <c r="M11" s="298"/>
      <c r="N11" s="298"/>
      <c r="O11" s="299">
        <f t="shared" si="10"/>
        <v>0</v>
      </c>
      <c r="P11" s="742"/>
    </row>
    <row r="12" spans="1:16" ht="32.25" customHeight="1" thickBot="1">
      <c r="A12" s="5"/>
      <c r="B12" s="592" t="s">
        <v>138</v>
      </c>
      <c r="C12" s="603">
        <f>SUM(C6:C11)</f>
        <v>0</v>
      </c>
      <c r="D12" s="306">
        <f t="shared" ref="D12:N12" si="11">SUM(D6:D11)</f>
        <v>0</v>
      </c>
      <c r="E12" s="306">
        <f t="shared" si="11"/>
        <v>0</v>
      </c>
      <c r="F12" s="306">
        <f t="shared" si="11"/>
        <v>0</v>
      </c>
      <c r="G12" s="306">
        <f t="shared" si="11"/>
        <v>1832850</v>
      </c>
      <c r="H12" s="306">
        <f t="shared" si="11"/>
        <v>300000</v>
      </c>
      <c r="I12" s="306">
        <f t="shared" si="11"/>
        <v>300000</v>
      </c>
      <c r="J12" s="306">
        <f t="shared" si="11"/>
        <v>300000</v>
      </c>
      <c r="K12" s="306">
        <f t="shared" si="11"/>
        <v>300000</v>
      </c>
      <c r="L12" s="306">
        <f t="shared" si="11"/>
        <v>700000</v>
      </c>
      <c r="M12" s="306">
        <f t="shared" si="11"/>
        <v>300000</v>
      </c>
      <c r="N12" s="306">
        <f t="shared" si="11"/>
        <v>300000</v>
      </c>
      <c r="O12" s="307">
        <f t="shared" ref="O12" si="12">SUM(C12:N12)</f>
        <v>4332850</v>
      </c>
      <c r="P12" s="742"/>
    </row>
    <row r="13" spans="1:16" ht="14.25" customHeight="1" thickBot="1">
      <c r="A13" s="5"/>
      <c r="B13" s="593"/>
      <c r="C13" s="1118"/>
      <c r="D13" s="1119"/>
      <c r="E13" s="1119"/>
      <c r="F13" s="1119"/>
      <c r="G13" s="1119"/>
      <c r="H13" s="1119"/>
      <c r="I13" s="1119"/>
      <c r="J13" s="1119"/>
      <c r="K13" s="1119"/>
      <c r="L13" s="1119"/>
      <c r="M13" s="1119"/>
      <c r="N13" s="1119"/>
      <c r="O13" s="1120"/>
      <c r="P13" s="742"/>
    </row>
    <row r="14" spans="1:16" ht="32.25" customHeight="1" thickBot="1">
      <c r="A14" s="5"/>
      <c r="B14" s="312" t="s">
        <v>139</v>
      </c>
      <c r="C14" s="312"/>
      <c r="D14" s="313"/>
      <c r="E14" s="313"/>
      <c r="F14" s="313"/>
      <c r="G14" s="314"/>
      <c r="H14" s="314"/>
      <c r="I14" s="314"/>
      <c r="J14" s="314"/>
      <c r="K14" s="314"/>
      <c r="L14" s="314"/>
      <c r="M14" s="314"/>
      <c r="N14" s="314"/>
      <c r="O14" s="315"/>
      <c r="P14" s="742"/>
    </row>
    <row r="15" spans="1:16" ht="32.25" customHeight="1" thickBot="1">
      <c r="A15" s="5"/>
      <c r="B15" s="594" t="s">
        <v>465</v>
      </c>
      <c r="C15" s="607">
        <f>SUM(C17,C20,C23,C24,C27,C28,C29,C32,C35,C36,C37,C38,C39,C44)</f>
        <v>0</v>
      </c>
      <c r="D15" s="608">
        <f>SUM(D17,D20,D23,D24,D27,D28,D29,D32,D35,D36,D37,D38,D39,D44)</f>
        <v>0</v>
      </c>
      <c r="E15" s="608">
        <f t="shared" ref="E15:N15" si="13">SUM(E17,E20,E23,E24,E27,E28,E29,E32,E35,E36,E37,E38,E39,E44)</f>
        <v>0</v>
      </c>
      <c r="F15" s="608">
        <f t="shared" si="13"/>
        <v>0</v>
      </c>
      <c r="G15" s="608">
        <f t="shared" si="13"/>
        <v>1460120</v>
      </c>
      <c r="H15" s="608">
        <f t="shared" si="13"/>
        <v>180500</v>
      </c>
      <c r="I15" s="608">
        <f t="shared" si="13"/>
        <v>180500</v>
      </c>
      <c r="J15" s="608">
        <f t="shared" si="13"/>
        <v>270713</v>
      </c>
      <c r="K15" s="608">
        <f t="shared" si="13"/>
        <v>180500</v>
      </c>
      <c r="L15" s="608">
        <f t="shared" si="13"/>
        <v>180500</v>
      </c>
      <c r="M15" s="608">
        <f t="shared" si="13"/>
        <v>880500</v>
      </c>
      <c r="N15" s="608">
        <f t="shared" si="13"/>
        <v>0</v>
      </c>
      <c r="O15" s="609">
        <f>SUM(C15:N15)</f>
        <v>3333333</v>
      </c>
      <c r="P15" s="742"/>
    </row>
    <row r="16" spans="1:16" ht="39" customHeight="1" thickBot="1">
      <c r="A16" s="5"/>
      <c r="B16" s="589" t="s">
        <v>492</v>
      </c>
      <c r="C16" s="603">
        <f>C15*0.9</f>
        <v>0</v>
      </c>
      <c r="D16" s="306">
        <f t="shared" ref="D16:N16" si="14">D15*0.9</f>
        <v>0</v>
      </c>
      <c r="E16" s="306">
        <f t="shared" si="14"/>
        <v>0</v>
      </c>
      <c r="F16" s="306">
        <f t="shared" si="14"/>
        <v>0</v>
      </c>
      <c r="G16" s="306">
        <f t="shared" si="14"/>
        <v>1314108</v>
      </c>
      <c r="H16" s="306">
        <f t="shared" si="14"/>
        <v>162450</v>
      </c>
      <c r="I16" s="306">
        <f t="shared" si="14"/>
        <v>162450</v>
      </c>
      <c r="J16" s="306">
        <f t="shared" si="14"/>
        <v>243641.7</v>
      </c>
      <c r="K16" s="306">
        <f t="shared" si="14"/>
        <v>162450</v>
      </c>
      <c r="L16" s="306">
        <f t="shared" si="14"/>
        <v>162450</v>
      </c>
      <c r="M16" s="306">
        <f t="shared" si="14"/>
        <v>792450</v>
      </c>
      <c r="N16" s="306">
        <f t="shared" si="14"/>
        <v>0</v>
      </c>
      <c r="O16" s="307">
        <f t="shared" ref="O16:O70" si="15">SUM(C16:N16)</f>
        <v>2999999.7</v>
      </c>
      <c r="P16" s="742"/>
    </row>
    <row r="17" spans="1:16" ht="48.95" customHeight="1" thickBot="1">
      <c r="A17" s="5"/>
      <c r="B17" s="626" t="s">
        <v>466</v>
      </c>
      <c r="C17" s="605">
        <f>SUM(C18:C19)</f>
        <v>0</v>
      </c>
      <c r="D17" s="304">
        <f t="shared" ref="D17:N17" si="16">SUM(D18:D19)</f>
        <v>0</v>
      </c>
      <c r="E17" s="304">
        <f t="shared" si="16"/>
        <v>0</v>
      </c>
      <c r="F17" s="304">
        <f t="shared" si="16"/>
        <v>0</v>
      </c>
      <c r="G17" s="304">
        <f t="shared" si="16"/>
        <v>0</v>
      </c>
      <c r="H17" s="304">
        <f t="shared" si="16"/>
        <v>0</v>
      </c>
      <c r="I17" s="304">
        <f t="shared" si="16"/>
        <v>0</v>
      </c>
      <c r="J17" s="304">
        <f t="shared" si="16"/>
        <v>0</v>
      </c>
      <c r="K17" s="304">
        <f t="shared" si="16"/>
        <v>0</v>
      </c>
      <c r="L17" s="304">
        <f t="shared" si="16"/>
        <v>0</v>
      </c>
      <c r="M17" s="304">
        <f t="shared" si="16"/>
        <v>0</v>
      </c>
      <c r="N17" s="304">
        <f t="shared" si="16"/>
        <v>0</v>
      </c>
      <c r="O17" s="486">
        <f t="shared" si="15"/>
        <v>0</v>
      </c>
      <c r="P17" s="743"/>
    </row>
    <row r="18" spans="1:16" ht="48.95" customHeight="1">
      <c r="A18" s="5"/>
      <c r="B18" s="627" t="s">
        <v>467</v>
      </c>
      <c r="C18" s="583"/>
      <c r="D18" s="294"/>
      <c r="E18" s="294"/>
      <c r="F18" s="294"/>
      <c r="G18" s="294"/>
      <c r="H18" s="294"/>
      <c r="I18" s="294"/>
      <c r="J18" s="294"/>
      <c r="K18" s="294"/>
      <c r="L18" s="294"/>
      <c r="M18" s="294"/>
      <c r="N18" s="294"/>
      <c r="O18" s="487">
        <f t="shared" si="15"/>
        <v>0</v>
      </c>
      <c r="P18" s="301" t="s">
        <v>512</v>
      </c>
    </row>
    <row r="19" spans="1:16" ht="48.95" customHeight="1">
      <c r="A19" s="5"/>
      <c r="B19" s="627" t="s">
        <v>146</v>
      </c>
      <c r="C19" s="583"/>
      <c r="D19" s="294"/>
      <c r="E19" s="294"/>
      <c r="F19" s="294"/>
      <c r="G19" s="294"/>
      <c r="H19" s="294"/>
      <c r="I19" s="294"/>
      <c r="J19" s="294"/>
      <c r="K19" s="294"/>
      <c r="L19" s="294"/>
      <c r="M19" s="294"/>
      <c r="N19" s="294"/>
      <c r="O19" s="487">
        <f t="shared" si="15"/>
        <v>0</v>
      </c>
      <c r="P19" s="301" t="s">
        <v>513</v>
      </c>
    </row>
    <row r="20" spans="1:16" ht="69.75" customHeight="1">
      <c r="A20" s="5"/>
      <c r="B20" s="626" t="s">
        <v>468</v>
      </c>
      <c r="C20" s="583">
        <f>SUM(C21:C22)</f>
        <v>0</v>
      </c>
      <c r="D20" s="294">
        <f t="shared" ref="D20:N20" si="17">SUM(D21:D22)</f>
        <v>0</v>
      </c>
      <c r="E20" s="294">
        <f t="shared" si="17"/>
        <v>0</v>
      </c>
      <c r="F20" s="294">
        <f t="shared" si="17"/>
        <v>0</v>
      </c>
      <c r="G20" s="294">
        <f t="shared" si="17"/>
        <v>180500</v>
      </c>
      <c r="H20" s="294">
        <f t="shared" si="17"/>
        <v>180500</v>
      </c>
      <c r="I20" s="294">
        <f t="shared" si="17"/>
        <v>180500</v>
      </c>
      <c r="J20" s="294">
        <f t="shared" si="17"/>
        <v>180500</v>
      </c>
      <c r="K20" s="294">
        <f t="shared" si="17"/>
        <v>180500</v>
      </c>
      <c r="L20" s="294">
        <f t="shared" si="17"/>
        <v>180500</v>
      </c>
      <c r="M20" s="294">
        <f t="shared" si="17"/>
        <v>180500</v>
      </c>
      <c r="N20" s="294">
        <f t="shared" si="17"/>
        <v>0</v>
      </c>
      <c r="O20" s="487">
        <f t="shared" si="15"/>
        <v>1263500</v>
      </c>
      <c r="P20" s="1123" t="s">
        <v>514</v>
      </c>
    </row>
    <row r="21" spans="1:16" ht="48.95" customHeight="1">
      <c r="A21" s="5"/>
      <c r="B21" s="627" t="s">
        <v>687</v>
      </c>
      <c r="C21" s="583"/>
      <c r="D21" s="294"/>
      <c r="E21" s="294"/>
      <c r="F21" s="294"/>
      <c r="G21" s="294">
        <v>180500</v>
      </c>
      <c r="H21" s="294">
        <v>180500</v>
      </c>
      <c r="I21" s="294">
        <v>180500</v>
      </c>
      <c r="J21" s="294">
        <v>180500</v>
      </c>
      <c r="K21" s="294">
        <v>180500</v>
      </c>
      <c r="L21" s="294">
        <v>180500</v>
      </c>
      <c r="M21" s="294">
        <v>180500</v>
      </c>
      <c r="N21" s="294"/>
      <c r="O21" s="487">
        <f t="shared" si="15"/>
        <v>1263500</v>
      </c>
      <c r="P21" s="1123"/>
    </row>
    <row r="22" spans="1:16" ht="48.95" customHeight="1">
      <c r="A22" s="5"/>
      <c r="B22" s="627" t="s">
        <v>470</v>
      </c>
      <c r="C22" s="583"/>
      <c r="D22" s="294"/>
      <c r="E22" s="294"/>
      <c r="F22" s="294"/>
      <c r="G22" s="294"/>
      <c r="H22" s="294"/>
      <c r="I22" s="294"/>
      <c r="J22" s="294"/>
      <c r="K22" s="294"/>
      <c r="L22" s="294"/>
      <c r="M22" s="294"/>
      <c r="N22" s="294"/>
      <c r="O22" s="487">
        <f t="shared" si="15"/>
        <v>0</v>
      </c>
      <c r="P22" s="1123"/>
    </row>
    <row r="23" spans="1:16" ht="97.5" customHeight="1">
      <c r="A23" s="5"/>
      <c r="B23" s="626" t="s">
        <v>471</v>
      </c>
      <c r="C23" s="583"/>
      <c r="D23" s="294"/>
      <c r="E23" s="294"/>
      <c r="F23" s="294"/>
      <c r="G23" s="294">
        <v>7620</v>
      </c>
      <c r="H23" s="294"/>
      <c r="I23" s="294"/>
      <c r="J23" s="294"/>
      <c r="K23" s="294"/>
      <c r="L23" s="294"/>
      <c r="M23" s="294"/>
      <c r="N23" s="294"/>
      <c r="O23" s="487">
        <f t="shared" si="15"/>
        <v>7620</v>
      </c>
      <c r="P23" s="1123"/>
    </row>
    <row r="24" spans="1:16" ht="48.95" customHeight="1">
      <c r="A24" s="5"/>
      <c r="B24" s="626" t="s">
        <v>472</v>
      </c>
      <c r="C24" s="583">
        <f>SUM(C25:C26)</f>
        <v>0</v>
      </c>
      <c r="D24" s="294">
        <f t="shared" ref="D24:N24" si="18">SUM(D25:D26)</f>
        <v>0</v>
      </c>
      <c r="E24" s="294">
        <f t="shared" si="18"/>
        <v>0</v>
      </c>
      <c r="F24" s="294">
        <f t="shared" si="18"/>
        <v>0</v>
      </c>
      <c r="G24" s="294">
        <f t="shared" si="18"/>
        <v>412000</v>
      </c>
      <c r="H24" s="294">
        <f t="shared" si="18"/>
        <v>0</v>
      </c>
      <c r="I24" s="294">
        <f t="shared" si="18"/>
        <v>0</v>
      </c>
      <c r="J24" s="294">
        <f t="shared" si="18"/>
        <v>0</v>
      </c>
      <c r="K24" s="294">
        <f t="shared" si="18"/>
        <v>0</v>
      </c>
      <c r="L24" s="294">
        <f t="shared" si="18"/>
        <v>0</v>
      </c>
      <c r="M24" s="294">
        <f t="shared" si="18"/>
        <v>0</v>
      </c>
      <c r="N24" s="294">
        <f t="shared" si="18"/>
        <v>0</v>
      </c>
      <c r="O24" s="487">
        <f t="shared" si="15"/>
        <v>412000</v>
      </c>
      <c r="P24" s="301"/>
    </row>
    <row r="25" spans="1:16" ht="48.95" customHeight="1">
      <c r="A25" s="5"/>
      <c r="B25" s="627" t="s">
        <v>473</v>
      </c>
      <c r="C25" s="583"/>
      <c r="D25" s="294"/>
      <c r="E25" s="294"/>
      <c r="F25" s="294"/>
      <c r="G25" s="294"/>
      <c r="H25" s="294"/>
      <c r="I25" s="294"/>
      <c r="J25" s="294"/>
      <c r="K25" s="294"/>
      <c r="L25" s="294"/>
      <c r="M25" s="294"/>
      <c r="N25" s="294"/>
      <c r="O25" s="487">
        <f t="shared" si="15"/>
        <v>0</v>
      </c>
      <c r="P25" s="301" t="s">
        <v>515</v>
      </c>
    </row>
    <row r="26" spans="1:16" ht="48.95" customHeight="1">
      <c r="A26" s="5"/>
      <c r="B26" s="627" t="s">
        <v>474</v>
      </c>
      <c r="C26" s="583"/>
      <c r="D26" s="294"/>
      <c r="E26" s="294"/>
      <c r="F26" s="294"/>
      <c r="G26" s="294">
        <v>412000</v>
      </c>
      <c r="H26" s="294"/>
      <c r="I26" s="294"/>
      <c r="J26" s="294"/>
      <c r="K26" s="294"/>
      <c r="L26" s="294"/>
      <c r="M26" s="294"/>
      <c r="N26" s="294"/>
      <c r="O26" s="487">
        <f t="shared" si="15"/>
        <v>412000</v>
      </c>
      <c r="P26" s="301" t="s">
        <v>502</v>
      </c>
    </row>
    <row r="27" spans="1:16" ht="69.75" customHeight="1">
      <c r="A27" s="5"/>
      <c r="B27" s="626" t="s">
        <v>475</v>
      </c>
      <c r="C27" s="583"/>
      <c r="D27" s="294"/>
      <c r="E27" s="294"/>
      <c r="F27" s="294"/>
      <c r="G27" s="294"/>
      <c r="H27" s="294"/>
      <c r="I27" s="294"/>
      <c r="J27" s="294"/>
      <c r="K27" s="294"/>
      <c r="L27" s="294"/>
      <c r="M27" s="294"/>
      <c r="N27" s="294"/>
      <c r="O27" s="487">
        <f t="shared" si="15"/>
        <v>0</v>
      </c>
      <c r="P27" s="301"/>
    </row>
    <row r="28" spans="1:16" ht="78.75" customHeight="1">
      <c r="A28" s="5"/>
      <c r="B28" s="626" t="s">
        <v>476</v>
      </c>
      <c r="C28" s="583"/>
      <c r="D28" s="294"/>
      <c r="E28" s="294"/>
      <c r="F28" s="294"/>
      <c r="G28" s="294">
        <v>600000</v>
      </c>
      <c r="H28" s="294"/>
      <c r="I28" s="294"/>
      <c r="J28" s="294"/>
      <c r="K28" s="294"/>
      <c r="L28" s="294"/>
      <c r="M28" s="294"/>
      <c r="N28" s="294"/>
      <c r="O28" s="487">
        <f t="shared" si="15"/>
        <v>600000</v>
      </c>
      <c r="P28" s="301"/>
    </row>
    <row r="29" spans="1:16" ht="48.95" customHeight="1">
      <c r="A29" s="5"/>
      <c r="B29" s="628" t="s">
        <v>477</v>
      </c>
      <c r="C29" s="583">
        <f>SUM(C30:C31)</f>
        <v>0</v>
      </c>
      <c r="D29" s="294">
        <f t="shared" ref="D29:N29" si="19">SUM(D30:D31)</f>
        <v>0</v>
      </c>
      <c r="E29" s="294">
        <f t="shared" si="19"/>
        <v>0</v>
      </c>
      <c r="F29" s="294">
        <f t="shared" si="19"/>
        <v>0</v>
      </c>
      <c r="G29" s="294">
        <f t="shared" si="19"/>
        <v>0</v>
      </c>
      <c r="H29" s="294">
        <f t="shared" si="19"/>
        <v>0</v>
      </c>
      <c r="I29" s="294">
        <f t="shared" si="19"/>
        <v>0</v>
      </c>
      <c r="J29" s="294">
        <f t="shared" si="19"/>
        <v>0</v>
      </c>
      <c r="K29" s="294">
        <f t="shared" si="19"/>
        <v>0</v>
      </c>
      <c r="L29" s="294">
        <f t="shared" si="19"/>
        <v>0</v>
      </c>
      <c r="M29" s="294">
        <f t="shared" si="19"/>
        <v>0</v>
      </c>
      <c r="N29" s="294">
        <f t="shared" si="19"/>
        <v>0</v>
      </c>
      <c r="O29" s="487">
        <f t="shared" si="15"/>
        <v>0</v>
      </c>
      <c r="P29" s="1123" t="s">
        <v>516</v>
      </c>
    </row>
    <row r="30" spans="1:16" ht="48.95" customHeight="1">
      <c r="A30" s="5"/>
      <c r="B30" s="627" t="s">
        <v>478</v>
      </c>
      <c r="C30" s="583"/>
      <c r="D30" s="294"/>
      <c r="E30" s="294"/>
      <c r="F30" s="294"/>
      <c r="G30" s="294"/>
      <c r="H30" s="294"/>
      <c r="I30" s="294"/>
      <c r="J30" s="294"/>
      <c r="K30" s="294"/>
      <c r="L30" s="294"/>
      <c r="M30" s="294"/>
      <c r="N30" s="294"/>
      <c r="O30" s="487">
        <f t="shared" si="15"/>
        <v>0</v>
      </c>
      <c r="P30" s="1123"/>
    </row>
    <row r="31" spans="1:16" ht="48.95" customHeight="1">
      <c r="A31" s="5"/>
      <c r="B31" s="627" t="s">
        <v>479</v>
      </c>
      <c r="C31" s="583"/>
      <c r="D31" s="294"/>
      <c r="E31" s="294"/>
      <c r="F31" s="294"/>
      <c r="G31" s="294"/>
      <c r="H31" s="294"/>
      <c r="I31" s="294"/>
      <c r="J31" s="294"/>
      <c r="K31" s="294"/>
      <c r="L31" s="294"/>
      <c r="M31" s="294"/>
      <c r="N31" s="294"/>
      <c r="O31" s="487">
        <f t="shared" si="15"/>
        <v>0</v>
      </c>
      <c r="P31" s="1123"/>
    </row>
    <row r="32" spans="1:16" ht="48.95" customHeight="1">
      <c r="A32" s="5"/>
      <c r="B32" s="628" t="s">
        <v>480</v>
      </c>
      <c r="C32" s="583">
        <f>SUM(C33:C34)</f>
        <v>0</v>
      </c>
      <c r="D32" s="294">
        <f t="shared" ref="D32:N32" si="20">SUM(D33:D34)</f>
        <v>0</v>
      </c>
      <c r="E32" s="294">
        <f t="shared" si="20"/>
        <v>0</v>
      </c>
      <c r="F32" s="294">
        <f t="shared" si="20"/>
        <v>0</v>
      </c>
      <c r="G32" s="294">
        <f t="shared" si="20"/>
        <v>260000</v>
      </c>
      <c r="H32" s="294">
        <f t="shared" si="20"/>
        <v>0</v>
      </c>
      <c r="I32" s="294">
        <f t="shared" si="20"/>
        <v>0</v>
      </c>
      <c r="J32" s="294">
        <f t="shared" si="20"/>
        <v>0</v>
      </c>
      <c r="K32" s="294">
        <f t="shared" si="20"/>
        <v>0</v>
      </c>
      <c r="L32" s="294">
        <f t="shared" si="20"/>
        <v>0</v>
      </c>
      <c r="M32" s="294">
        <f t="shared" si="20"/>
        <v>0</v>
      </c>
      <c r="N32" s="294">
        <f t="shared" si="20"/>
        <v>0</v>
      </c>
      <c r="O32" s="487">
        <f t="shared" si="15"/>
        <v>260000</v>
      </c>
      <c r="P32" s="301" t="s">
        <v>503</v>
      </c>
    </row>
    <row r="33" spans="1:16" ht="48.95" customHeight="1">
      <c r="A33" s="5"/>
      <c r="B33" s="627" t="s">
        <v>481</v>
      </c>
      <c r="C33" s="583"/>
      <c r="D33" s="294"/>
      <c r="E33" s="294"/>
      <c r="F33" s="294"/>
      <c r="G33" s="294">
        <v>40000</v>
      </c>
      <c r="H33" s="294"/>
      <c r="I33" s="294"/>
      <c r="J33" s="294"/>
      <c r="K33" s="294"/>
      <c r="L33" s="294"/>
      <c r="M33" s="294"/>
      <c r="N33" s="294"/>
      <c r="O33" s="487">
        <f t="shared" si="15"/>
        <v>40000</v>
      </c>
      <c r="P33" s="301"/>
    </row>
    <row r="34" spans="1:16" ht="48.95" customHeight="1">
      <c r="A34" s="5"/>
      <c r="B34" s="627" t="s">
        <v>482</v>
      </c>
      <c r="C34" s="583"/>
      <c r="D34" s="294"/>
      <c r="E34" s="294"/>
      <c r="F34" s="294"/>
      <c r="G34" s="294">
        <v>220000</v>
      </c>
      <c r="H34" s="294"/>
      <c r="I34" s="294"/>
      <c r="J34" s="294"/>
      <c r="K34" s="294"/>
      <c r="L34" s="294"/>
      <c r="M34" s="294"/>
      <c r="N34" s="294"/>
      <c r="O34" s="487">
        <f t="shared" si="15"/>
        <v>220000</v>
      </c>
      <c r="P34" s="301"/>
    </row>
    <row r="35" spans="1:16" ht="123.75" customHeight="1">
      <c r="A35" s="5"/>
      <c r="B35" s="626" t="s">
        <v>483</v>
      </c>
      <c r="C35" s="583"/>
      <c r="D35" s="294"/>
      <c r="E35" s="294"/>
      <c r="F35" s="294"/>
      <c r="G35" s="294"/>
      <c r="H35" s="294"/>
      <c r="I35" s="294"/>
      <c r="J35" s="294">
        <v>90213</v>
      </c>
      <c r="K35" s="294"/>
      <c r="L35" s="294"/>
      <c r="M35" s="294"/>
      <c r="N35" s="294"/>
      <c r="O35" s="487">
        <f t="shared" si="15"/>
        <v>90213</v>
      </c>
      <c r="P35" s="301" t="s">
        <v>506</v>
      </c>
    </row>
    <row r="36" spans="1:16" ht="69" customHeight="1">
      <c r="A36" s="5"/>
      <c r="B36" s="626" t="s">
        <v>484</v>
      </c>
      <c r="C36" s="583"/>
      <c r="D36" s="294"/>
      <c r="E36" s="294"/>
      <c r="F36" s="294"/>
      <c r="G36" s="294"/>
      <c r="H36" s="294"/>
      <c r="I36" s="294"/>
      <c r="J36" s="294"/>
      <c r="K36" s="294"/>
      <c r="L36" s="294"/>
      <c r="M36" s="294"/>
      <c r="N36" s="294"/>
      <c r="O36" s="487">
        <f t="shared" si="15"/>
        <v>0</v>
      </c>
      <c r="P36" s="301" t="s">
        <v>504</v>
      </c>
    </row>
    <row r="37" spans="1:16" ht="82.5" customHeight="1">
      <c r="A37" s="5"/>
      <c r="B37" s="626" t="s">
        <v>485</v>
      </c>
      <c r="C37" s="583"/>
      <c r="D37" s="294"/>
      <c r="E37" s="294"/>
      <c r="F37" s="294"/>
      <c r="G37" s="294"/>
      <c r="H37" s="294"/>
      <c r="I37" s="294"/>
      <c r="J37" s="294"/>
      <c r="K37" s="294"/>
      <c r="L37" s="294"/>
      <c r="M37" s="294">
        <v>700000</v>
      </c>
      <c r="N37" s="294"/>
      <c r="O37" s="487">
        <f t="shared" si="15"/>
        <v>700000</v>
      </c>
      <c r="P37" s="301" t="s">
        <v>505</v>
      </c>
    </row>
    <row r="38" spans="1:16" ht="62.25" customHeight="1">
      <c r="A38" s="5"/>
      <c r="B38" s="626" t="s">
        <v>486</v>
      </c>
      <c r="C38" s="583"/>
      <c r="D38" s="294"/>
      <c r="E38" s="294"/>
      <c r="F38" s="294"/>
      <c r="G38" s="294"/>
      <c r="H38" s="294"/>
      <c r="I38" s="294"/>
      <c r="J38" s="294"/>
      <c r="K38" s="294"/>
      <c r="L38" s="294"/>
      <c r="M38" s="294"/>
      <c r="N38" s="294"/>
      <c r="O38" s="487">
        <f t="shared" si="15"/>
        <v>0</v>
      </c>
      <c r="P38" s="301" t="s">
        <v>507</v>
      </c>
    </row>
    <row r="39" spans="1:16" ht="67.5" customHeight="1">
      <c r="A39" s="5"/>
      <c r="B39" s="626" t="s">
        <v>487</v>
      </c>
      <c r="C39" s="583">
        <f>SUM(C40:C43)</f>
        <v>0</v>
      </c>
      <c r="D39" s="294">
        <f t="shared" ref="D39:N39" si="21">SUM(D40:D43)</f>
        <v>0</v>
      </c>
      <c r="E39" s="294">
        <f t="shared" si="21"/>
        <v>0</v>
      </c>
      <c r="F39" s="294">
        <f t="shared" si="21"/>
        <v>0</v>
      </c>
      <c r="G39" s="294">
        <f t="shared" si="21"/>
        <v>0</v>
      </c>
      <c r="H39" s="294">
        <f t="shared" si="21"/>
        <v>0</v>
      </c>
      <c r="I39" s="294">
        <f t="shared" si="21"/>
        <v>0</v>
      </c>
      <c r="J39" s="294">
        <f t="shared" si="21"/>
        <v>0</v>
      </c>
      <c r="K39" s="294">
        <f t="shared" si="21"/>
        <v>0</v>
      </c>
      <c r="L39" s="294">
        <f t="shared" si="21"/>
        <v>0</v>
      </c>
      <c r="M39" s="294">
        <f t="shared" si="21"/>
        <v>0</v>
      </c>
      <c r="N39" s="294">
        <f t="shared" si="21"/>
        <v>0</v>
      </c>
      <c r="O39" s="487">
        <f t="shared" si="15"/>
        <v>0</v>
      </c>
      <c r="P39" s="301"/>
    </row>
    <row r="40" spans="1:16" ht="48.95" customHeight="1">
      <c r="A40" s="5"/>
      <c r="B40" s="627" t="s">
        <v>488</v>
      </c>
      <c r="C40" s="583"/>
      <c r="D40" s="294"/>
      <c r="E40" s="294"/>
      <c r="F40" s="294"/>
      <c r="G40" s="294"/>
      <c r="H40" s="294"/>
      <c r="I40" s="294"/>
      <c r="J40" s="294"/>
      <c r="K40" s="294"/>
      <c r="L40" s="294"/>
      <c r="M40" s="294"/>
      <c r="N40" s="294"/>
      <c r="O40" s="487">
        <f t="shared" si="15"/>
        <v>0</v>
      </c>
      <c r="P40" s="301" t="s">
        <v>508</v>
      </c>
    </row>
    <row r="41" spans="1:16" ht="48.95" customHeight="1">
      <c r="A41" s="5"/>
      <c r="B41" s="627" t="s">
        <v>489</v>
      </c>
      <c r="C41" s="583"/>
      <c r="D41" s="294"/>
      <c r="E41" s="294"/>
      <c r="F41" s="294"/>
      <c r="G41" s="294"/>
      <c r="H41" s="294"/>
      <c r="I41" s="294"/>
      <c r="J41" s="294"/>
      <c r="K41" s="294"/>
      <c r="L41" s="294"/>
      <c r="M41" s="294"/>
      <c r="N41" s="294"/>
      <c r="O41" s="487">
        <f t="shared" si="15"/>
        <v>0</v>
      </c>
      <c r="P41" s="301" t="s">
        <v>509</v>
      </c>
    </row>
    <row r="42" spans="1:16" ht="48.95" customHeight="1">
      <c r="A42" s="5"/>
      <c r="B42" s="627" t="s">
        <v>490</v>
      </c>
      <c r="C42" s="583"/>
      <c r="D42" s="294"/>
      <c r="E42" s="294"/>
      <c r="F42" s="294"/>
      <c r="G42" s="294"/>
      <c r="H42" s="294"/>
      <c r="I42" s="294"/>
      <c r="J42" s="294"/>
      <c r="K42" s="294"/>
      <c r="L42" s="294"/>
      <c r="M42" s="294"/>
      <c r="N42" s="294"/>
      <c r="O42" s="487">
        <f t="shared" si="15"/>
        <v>0</v>
      </c>
      <c r="P42" s="301" t="s">
        <v>510</v>
      </c>
    </row>
    <row r="43" spans="1:16" ht="48.95" customHeight="1">
      <c r="A43" s="5"/>
      <c r="B43" s="627" t="s">
        <v>491</v>
      </c>
      <c r="C43" s="583"/>
      <c r="D43" s="294"/>
      <c r="E43" s="294"/>
      <c r="F43" s="294"/>
      <c r="G43" s="294"/>
      <c r="H43" s="294"/>
      <c r="I43" s="294"/>
      <c r="J43" s="294"/>
      <c r="K43" s="294"/>
      <c r="L43" s="294"/>
      <c r="M43" s="294"/>
      <c r="N43" s="294"/>
      <c r="O43" s="487">
        <f t="shared" si="15"/>
        <v>0</v>
      </c>
      <c r="P43" s="301" t="s">
        <v>511</v>
      </c>
    </row>
    <row r="44" spans="1:16" ht="48.95" customHeight="1" thickBot="1">
      <c r="A44" s="5"/>
      <c r="B44" s="626" t="s">
        <v>149</v>
      </c>
      <c r="C44" s="583"/>
      <c r="D44" s="294"/>
      <c r="E44" s="294"/>
      <c r="F44" s="294"/>
      <c r="G44" s="294"/>
      <c r="H44" s="294"/>
      <c r="I44" s="294"/>
      <c r="J44" s="294"/>
      <c r="K44" s="294"/>
      <c r="L44" s="294"/>
      <c r="M44" s="294"/>
      <c r="N44" s="294"/>
      <c r="O44" s="487">
        <f t="shared" si="15"/>
        <v>0</v>
      </c>
      <c r="P44" s="498"/>
    </row>
    <row r="45" spans="1:16" ht="27" customHeight="1" thickBot="1">
      <c r="A45" s="5"/>
      <c r="B45" s="552" t="s">
        <v>153</v>
      </c>
      <c r="C45" s="603">
        <f>SUM(C46:C67)</f>
        <v>0</v>
      </c>
      <c r="D45" s="306">
        <f>SUM(D46:D67)</f>
        <v>0</v>
      </c>
      <c r="E45" s="306">
        <f t="shared" ref="E45:N45" si="22">SUM(E46:E67)</f>
        <v>0</v>
      </c>
      <c r="F45" s="306">
        <f>SUM(F46:F67)</f>
        <v>0</v>
      </c>
      <c r="G45" s="306">
        <f t="shared" si="22"/>
        <v>81000</v>
      </c>
      <c r="H45" s="306">
        <f>SUM(H46:H67)</f>
        <v>81000</v>
      </c>
      <c r="I45" s="306">
        <f t="shared" si="22"/>
        <v>81000</v>
      </c>
      <c r="J45" s="306">
        <f t="shared" si="22"/>
        <v>81000</v>
      </c>
      <c r="K45" s="306">
        <f t="shared" si="22"/>
        <v>81000</v>
      </c>
      <c r="L45" s="306">
        <f t="shared" si="22"/>
        <v>81000</v>
      </c>
      <c r="M45" s="306">
        <f t="shared" si="22"/>
        <v>81000</v>
      </c>
      <c r="N45" s="306">
        <f t="shared" si="22"/>
        <v>362215</v>
      </c>
      <c r="O45" s="307">
        <f t="shared" si="15"/>
        <v>929215</v>
      </c>
      <c r="P45" s="1038" t="s">
        <v>494</v>
      </c>
    </row>
    <row r="46" spans="1:16" ht="26.25" customHeight="1">
      <c r="A46" s="5"/>
      <c r="B46" s="488" t="s">
        <v>143</v>
      </c>
      <c r="C46" s="605"/>
      <c r="D46" s="304"/>
      <c r="E46" s="304"/>
      <c r="F46" s="304"/>
      <c r="G46" s="304"/>
      <c r="H46" s="304"/>
      <c r="I46" s="304"/>
      <c r="J46" s="304"/>
      <c r="K46" s="304"/>
      <c r="L46" s="304"/>
      <c r="M46" s="304"/>
      <c r="N46" s="304"/>
      <c r="O46" s="486">
        <f t="shared" si="15"/>
        <v>0</v>
      </c>
      <c r="P46" s="1039"/>
    </row>
    <row r="47" spans="1:16" ht="22.5" customHeight="1">
      <c r="A47" s="5"/>
      <c r="B47" s="489" t="s">
        <v>150</v>
      </c>
      <c r="C47" s="605"/>
      <c r="D47" s="304"/>
      <c r="E47" s="304"/>
      <c r="F47" s="304"/>
      <c r="G47" s="304"/>
      <c r="H47" s="304"/>
      <c r="I47" s="304"/>
      <c r="J47" s="304"/>
      <c r="K47" s="304"/>
      <c r="L47" s="304"/>
      <c r="M47" s="304"/>
      <c r="N47" s="304"/>
      <c r="O47" s="487">
        <f t="shared" si="15"/>
        <v>0</v>
      </c>
      <c r="P47" s="1039"/>
    </row>
    <row r="48" spans="1:16" ht="35.25" customHeight="1">
      <c r="A48" s="5"/>
      <c r="B48" s="489" t="s">
        <v>151</v>
      </c>
      <c r="C48" s="605"/>
      <c r="D48" s="304"/>
      <c r="E48" s="304"/>
      <c r="F48" s="304"/>
      <c r="G48" s="304"/>
      <c r="H48" s="304"/>
      <c r="I48" s="304"/>
      <c r="J48" s="304"/>
      <c r="K48" s="304"/>
      <c r="L48" s="304"/>
      <c r="M48" s="304"/>
      <c r="N48" s="304"/>
      <c r="O48" s="487">
        <f t="shared" si="15"/>
        <v>0</v>
      </c>
      <c r="P48" s="1039"/>
    </row>
    <row r="49" spans="1:16" ht="36" customHeight="1">
      <c r="A49" s="5"/>
      <c r="B49" s="489" t="s">
        <v>152</v>
      </c>
      <c r="C49" s="605"/>
      <c r="D49" s="304"/>
      <c r="E49" s="304"/>
      <c r="F49" s="304"/>
      <c r="G49" s="304"/>
      <c r="H49" s="304"/>
      <c r="I49" s="304"/>
      <c r="J49" s="304"/>
      <c r="K49" s="304"/>
      <c r="L49" s="304"/>
      <c r="M49" s="304"/>
      <c r="N49" s="304"/>
      <c r="O49" s="487">
        <f t="shared" si="15"/>
        <v>0</v>
      </c>
      <c r="P49" s="1039"/>
    </row>
    <row r="50" spans="1:16" ht="35.25" customHeight="1">
      <c r="A50" s="5"/>
      <c r="B50" s="489" t="s">
        <v>144</v>
      </c>
      <c r="C50" s="605"/>
      <c r="D50" s="304"/>
      <c r="E50" s="304"/>
      <c r="F50" s="304"/>
      <c r="G50" s="304"/>
      <c r="H50" s="304"/>
      <c r="I50" s="304"/>
      <c r="J50" s="304"/>
      <c r="K50" s="304"/>
      <c r="L50" s="304"/>
      <c r="M50" s="304"/>
      <c r="N50" s="304"/>
      <c r="O50" s="487">
        <f t="shared" si="15"/>
        <v>0</v>
      </c>
      <c r="P50" s="1039"/>
    </row>
    <row r="51" spans="1:16" ht="22.5" customHeight="1">
      <c r="A51" s="5"/>
      <c r="B51" s="489" t="s">
        <v>147</v>
      </c>
      <c r="C51" s="605"/>
      <c r="D51" s="304"/>
      <c r="E51" s="304"/>
      <c r="F51" s="304"/>
      <c r="G51" s="304">
        <v>2000</v>
      </c>
      <c r="H51" s="304">
        <v>2000</v>
      </c>
      <c r="I51" s="304">
        <v>2000</v>
      </c>
      <c r="J51" s="304">
        <v>2000</v>
      </c>
      <c r="K51" s="304">
        <v>2000</v>
      </c>
      <c r="L51" s="304">
        <v>2000</v>
      </c>
      <c r="M51" s="304">
        <v>2000</v>
      </c>
      <c r="N51" s="304">
        <v>2000</v>
      </c>
      <c r="O51" s="487">
        <f t="shared" si="15"/>
        <v>16000</v>
      </c>
      <c r="P51" s="1039"/>
    </row>
    <row r="52" spans="1:16" ht="22.5" customHeight="1">
      <c r="A52" s="5"/>
      <c r="B52" s="489" t="s">
        <v>145</v>
      </c>
      <c r="C52" s="605"/>
      <c r="D52" s="304"/>
      <c r="E52" s="304"/>
      <c r="F52" s="304"/>
      <c r="G52" s="304"/>
      <c r="H52" s="304"/>
      <c r="I52" s="304"/>
      <c r="J52" s="304"/>
      <c r="K52" s="304"/>
      <c r="L52" s="304"/>
      <c r="M52" s="304"/>
      <c r="N52" s="304">
        <v>85715</v>
      </c>
      <c r="O52" s="487">
        <f t="shared" si="15"/>
        <v>85715</v>
      </c>
      <c r="P52" s="1039"/>
    </row>
    <row r="53" spans="1:16" ht="37.5" customHeight="1">
      <c r="A53" s="5"/>
      <c r="B53" s="489" t="s">
        <v>406</v>
      </c>
      <c r="C53" s="605"/>
      <c r="D53" s="304"/>
      <c r="E53" s="304"/>
      <c r="F53" s="304"/>
      <c r="G53" s="304"/>
      <c r="H53" s="304"/>
      <c r="I53" s="304"/>
      <c r="J53" s="304"/>
      <c r="K53" s="304"/>
      <c r="L53" s="304"/>
      <c r="M53" s="304"/>
      <c r="N53" s="304"/>
      <c r="O53" s="487">
        <f t="shared" si="15"/>
        <v>0</v>
      </c>
      <c r="P53" s="1039"/>
    </row>
    <row r="54" spans="1:16" ht="50.25" customHeight="1">
      <c r="A54" s="5"/>
      <c r="B54" s="489" t="s">
        <v>148</v>
      </c>
      <c r="C54" s="605"/>
      <c r="D54" s="304"/>
      <c r="E54" s="304"/>
      <c r="F54" s="304"/>
      <c r="G54" s="304"/>
      <c r="H54" s="304"/>
      <c r="I54" s="304"/>
      <c r="J54" s="304"/>
      <c r="K54" s="304"/>
      <c r="L54" s="304"/>
      <c r="M54" s="304"/>
      <c r="N54" s="304"/>
      <c r="O54" s="487">
        <f t="shared" si="15"/>
        <v>0</v>
      </c>
      <c r="P54" s="1039"/>
    </row>
    <row r="55" spans="1:16" ht="37.5" customHeight="1">
      <c r="A55" s="5"/>
      <c r="B55" s="489" t="s">
        <v>407</v>
      </c>
      <c r="C55" s="605"/>
      <c r="D55" s="304"/>
      <c r="E55" s="304"/>
      <c r="F55" s="304"/>
      <c r="G55" s="304"/>
      <c r="H55" s="304"/>
      <c r="I55" s="304"/>
      <c r="J55" s="304"/>
      <c r="K55" s="304"/>
      <c r="L55" s="304"/>
      <c r="M55" s="304"/>
      <c r="N55" s="304">
        <v>15000</v>
      </c>
      <c r="O55" s="487">
        <f t="shared" si="15"/>
        <v>15000</v>
      </c>
      <c r="P55" s="1039"/>
    </row>
    <row r="56" spans="1:16" ht="38.25" customHeight="1">
      <c r="A56" s="5"/>
      <c r="B56" s="489" t="s">
        <v>408</v>
      </c>
      <c r="C56" s="605"/>
      <c r="D56" s="304"/>
      <c r="E56" s="304"/>
      <c r="F56" s="304"/>
      <c r="G56" s="304"/>
      <c r="H56" s="304"/>
      <c r="I56" s="304"/>
      <c r="J56" s="304"/>
      <c r="K56" s="304"/>
      <c r="L56" s="304"/>
      <c r="M56" s="304"/>
      <c r="N56" s="304"/>
      <c r="O56" s="487">
        <f t="shared" si="15"/>
        <v>0</v>
      </c>
      <c r="P56" s="1039"/>
    </row>
    <row r="57" spans="1:16" ht="38.25" customHeight="1">
      <c r="A57" s="5"/>
      <c r="B57" s="489" t="s">
        <v>424</v>
      </c>
      <c r="C57" s="605"/>
      <c r="D57" s="304"/>
      <c r="E57" s="304"/>
      <c r="F57" s="304"/>
      <c r="G57" s="304">
        <v>10000</v>
      </c>
      <c r="H57" s="304">
        <v>10000</v>
      </c>
      <c r="I57" s="304">
        <v>10000</v>
      </c>
      <c r="J57" s="304">
        <v>10000</v>
      </c>
      <c r="K57" s="304">
        <v>10000</v>
      </c>
      <c r="L57" s="304">
        <v>10000</v>
      </c>
      <c r="M57" s="304">
        <v>10000</v>
      </c>
      <c r="N57" s="304">
        <v>10000</v>
      </c>
      <c r="O57" s="487">
        <f t="shared" si="15"/>
        <v>80000</v>
      </c>
      <c r="P57" s="1039"/>
    </row>
    <row r="58" spans="1:16" ht="39" customHeight="1">
      <c r="A58" s="5"/>
      <c r="B58" s="622" t="s">
        <v>688</v>
      </c>
      <c r="C58" s="605"/>
      <c r="D58" s="304"/>
      <c r="E58" s="304"/>
      <c r="F58" s="304"/>
      <c r="G58" s="304">
        <v>69000</v>
      </c>
      <c r="H58" s="304">
        <v>69000</v>
      </c>
      <c r="I58" s="304">
        <v>69000</v>
      </c>
      <c r="J58" s="304">
        <v>69000</v>
      </c>
      <c r="K58" s="304">
        <v>69000</v>
      </c>
      <c r="L58" s="304">
        <v>69000</v>
      </c>
      <c r="M58" s="304">
        <v>69000</v>
      </c>
      <c r="N58" s="304">
        <v>69000</v>
      </c>
      <c r="O58" s="487">
        <f t="shared" si="15"/>
        <v>552000</v>
      </c>
      <c r="P58" s="1039"/>
    </row>
    <row r="59" spans="1:16" ht="22.5" customHeight="1">
      <c r="A59" s="5"/>
      <c r="B59" s="489" t="s">
        <v>140</v>
      </c>
      <c r="C59" s="605"/>
      <c r="D59" s="304"/>
      <c r="E59" s="304"/>
      <c r="F59" s="304"/>
      <c r="G59" s="304"/>
      <c r="H59" s="304"/>
      <c r="I59" s="304"/>
      <c r="J59" s="304"/>
      <c r="K59" s="304"/>
      <c r="L59" s="304"/>
      <c r="M59" s="304"/>
      <c r="N59" s="304">
        <v>180500</v>
      </c>
      <c r="O59" s="487">
        <f t="shared" si="15"/>
        <v>180500</v>
      </c>
      <c r="P59" s="1039"/>
    </row>
    <row r="60" spans="1:16" ht="46.5" customHeight="1">
      <c r="A60" s="5"/>
      <c r="B60" s="489" t="s">
        <v>141</v>
      </c>
      <c r="C60" s="605"/>
      <c r="D60" s="304"/>
      <c r="E60" s="304"/>
      <c r="F60" s="304"/>
      <c r="G60" s="304"/>
      <c r="H60" s="304"/>
      <c r="I60" s="304"/>
      <c r="J60" s="304"/>
      <c r="K60" s="304"/>
      <c r="L60" s="304"/>
      <c r="M60" s="304"/>
      <c r="N60" s="304"/>
      <c r="O60" s="487">
        <f t="shared" si="15"/>
        <v>0</v>
      </c>
      <c r="P60" s="1039"/>
    </row>
    <row r="61" spans="1:16" ht="22.5" customHeight="1">
      <c r="A61" s="5"/>
      <c r="B61" s="489" t="s">
        <v>142</v>
      </c>
      <c r="C61" s="605"/>
      <c r="D61" s="304"/>
      <c r="E61" s="304"/>
      <c r="F61" s="304"/>
      <c r="G61" s="304"/>
      <c r="H61" s="304"/>
      <c r="I61" s="304"/>
      <c r="J61" s="304"/>
      <c r="K61" s="304"/>
      <c r="L61" s="304"/>
      <c r="M61" s="304"/>
      <c r="N61" s="304"/>
      <c r="O61" s="487">
        <f t="shared" si="15"/>
        <v>0</v>
      </c>
      <c r="P61" s="1039"/>
    </row>
    <row r="62" spans="1:16" ht="32.25" customHeight="1">
      <c r="A62" s="5"/>
      <c r="B62" s="490" t="s">
        <v>423</v>
      </c>
      <c r="C62" s="605"/>
      <c r="D62" s="304"/>
      <c r="E62" s="304"/>
      <c r="F62" s="304"/>
      <c r="G62" s="304"/>
      <c r="H62" s="304"/>
      <c r="I62" s="304"/>
      <c r="J62" s="304"/>
      <c r="K62" s="304"/>
      <c r="L62" s="304"/>
      <c r="M62" s="304"/>
      <c r="N62" s="304"/>
      <c r="O62" s="487">
        <f t="shared" si="15"/>
        <v>0</v>
      </c>
      <c r="P62" s="301"/>
    </row>
    <row r="63" spans="1:16" ht="22.5" customHeight="1">
      <c r="A63" s="5"/>
      <c r="B63" s="595"/>
      <c r="C63" s="583"/>
      <c r="D63" s="294"/>
      <c r="E63" s="294"/>
      <c r="F63" s="294"/>
      <c r="G63" s="294"/>
      <c r="H63" s="294"/>
      <c r="I63" s="294"/>
      <c r="J63" s="294"/>
      <c r="K63" s="294"/>
      <c r="L63" s="294"/>
      <c r="M63" s="294"/>
      <c r="N63" s="294"/>
      <c r="O63" s="487">
        <f t="shared" si="15"/>
        <v>0</v>
      </c>
      <c r="P63" s="301"/>
    </row>
    <row r="64" spans="1:16" ht="27" customHeight="1">
      <c r="A64" s="5"/>
      <c r="B64" s="595"/>
      <c r="C64" s="583"/>
      <c r="D64" s="294"/>
      <c r="E64" s="294"/>
      <c r="F64" s="294"/>
      <c r="G64" s="294"/>
      <c r="H64" s="294"/>
      <c r="I64" s="294"/>
      <c r="J64" s="294"/>
      <c r="K64" s="294"/>
      <c r="L64" s="294"/>
      <c r="M64" s="294"/>
      <c r="N64" s="294"/>
      <c r="O64" s="487">
        <f t="shared" si="15"/>
        <v>0</v>
      </c>
      <c r="P64" s="301"/>
    </row>
    <row r="65" spans="1:16" ht="23.25" customHeight="1">
      <c r="A65" s="5"/>
      <c r="B65" s="595"/>
      <c r="C65" s="583"/>
      <c r="D65" s="294"/>
      <c r="E65" s="294"/>
      <c r="F65" s="294"/>
      <c r="G65" s="294"/>
      <c r="H65" s="294"/>
      <c r="I65" s="294"/>
      <c r="J65" s="294"/>
      <c r="K65" s="294"/>
      <c r="L65" s="294"/>
      <c r="M65" s="294"/>
      <c r="N65" s="294"/>
      <c r="O65" s="487">
        <f t="shared" si="15"/>
        <v>0</v>
      </c>
      <c r="P65" s="301"/>
    </row>
    <row r="66" spans="1:16" ht="27" customHeight="1">
      <c r="A66" s="5"/>
      <c r="B66" s="595"/>
      <c r="C66" s="583"/>
      <c r="D66" s="294"/>
      <c r="E66" s="294"/>
      <c r="F66" s="294"/>
      <c r="G66" s="294"/>
      <c r="H66" s="294"/>
      <c r="I66" s="294"/>
      <c r="J66" s="294"/>
      <c r="K66" s="294"/>
      <c r="L66" s="294"/>
      <c r="M66" s="294"/>
      <c r="N66" s="294"/>
      <c r="O66" s="487">
        <f t="shared" si="15"/>
        <v>0</v>
      </c>
      <c r="P66" s="301"/>
    </row>
    <row r="67" spans="1:16" ht="39" customHeight="1" thickBot="1">
      <c r="A67" s="5"/>
      <c r="B67" s="596" t="s">
        <v>149</v>
      </c>
      <c r="C67" s="604"/>
      <c r="D67" s="298"/>
      <c r="E67" s="298"/>
      <c r="F67" s="298"/>
      <c r="G67" s="298"/>
      <c r="H67" s="298"/>
      <c r="I67" s="298"/>
      <c r="J67" s="298"/>
      <c r="K67" s="298"/>
      <c r="L67" s="298"/>
      <c r="M67" s="298"/>
      <c r="N67" s="298"/>
      <c r="O67" s="634">
        <f>SUM(C67:N67)</f>
        <v>0</v>
      </c>
      <c r="P67" s="1117" t="s">
        <v>306</v>
      </c>
    </row>
    <row r="68" spans="1:16" ht="48.75" customHeight="1" thickBot="1">
      <c r="A68" s="5"/>
      <c r="B68" s="592" t="s">
        <v>154</v>
      </c>
      <c r="C68" s="603">
        <f>SUM(C15,C45)</f>
        <v>0</v>
      </c>
      <c r="D68" s="306">
        <f t="shared" ref="D68:N68" si="23">SUM(D15,D45)</f>
        <v>0</v>
      </c>
      <c r="E68" s="306">
        <f t="shared" si="23"/>
        <v>0</v>
      </c>
      <c r="F68" s="306">
        <f>SUM(F15,F45)</f>
        <v>0</v>
      </c>
      <c r="G68" s="306">
        <f>SUM(G15,G45)</f>
        <v>1541120</v>
      </c>
      <c r="H68" s="306">
        <f t="shared" si="23"/>
        <v>261500</v>
      </c>
      <c r="I68" s="306">
        <f t="shared" si="23"/>
        <v>261500</v>
      </c>
      <c r="J68" s="306">
        <f t="shared" si="23"/>
        <v>351713</v>
      </c>
      <c r="K68" s="306">
        <f t="shared" si="23"/>
        <v>261500</v>
      </c>
      <c r="L68" s="306">
        <f t="shared" si="23"/>
        <v>261500</v>
      </c>
      <c r="M68" s="306">
        <f t="shared" si="23"/>
        <v>961500</v>
      </c>
      <c r="N68" s="306">
        <f t="shared" si="23"/>
        <v>362215</v>
      </c>
      <c r="O68" s="307">
        <f t="shared" si="15"/>
        <v>4262548</v>
      </c>
      <c r="P68" s="1117"/>
    </row>
    <row r="69" spans="1:16" ht="57.75" customHeight="1">
      <c r="A69" s="5"/>
      <c r="B69" s="597" t="s">
        <v>155</v>
      </c>
      <c r="C69" s="606">
        <f>C67+C44-C11</f>
        <v>0</v>
      </c>
      <c r="D69" s="311">
        <f t="shared" ref="D69:N69" si="24">D67+D44-D11</f>
        <v>0</v>
      </c>
      <c r="E69" s="311">
        <f t="shared" si="24"/>
        <v>0</v>
      </c>
      <c r="F69" s="311">
        <f t="shared" si="24"/>
        <v>0</v>
      </c>
      <c r="G69" s="311">
        <f t="shared" si="24"/>
        <v>0</v>
      </c>
      <c r="H69" s="311">
        <f t="shared" si="24"/>
        <v>0</v>
      </c>
      <c r="I69" s="311">
        <f t="shared" si="24"/>
        <v>0</v>
      </c>
      <c r="J69" s="311">
        <f t="shared" si="24"/>
        <v>0</v>
      </c>
      <c r="K69" s="311">
        <f t="shared" si="24"/>
        <v>0</v>
      </c>
      <c r="L69" s="311">
        <f t="shared" si="24"/>
        <v>0</v>
      </c>
      <c r="M69" s="311">
        <f t="shared" si="24"/>
        <v>0</v>
      </c>
      <c r="N69" s="311">
        <f t="shared" si="24"/>
        <v>0</v>
      </c>
      <c r="O69" s="305">
        <f t="shared" si="15"/>
        <v>0</v>
      </c>
      <c r="P69" s="1121" t="s">
        <v>310</v>
      </c>
    </row>
    <row r="70" spans="1:16" ht="40.5" customHeight="1" thickBot="1">
      <c r="A70" s="5"/>
      <c r="B70" s="598" t="s">
        <v>156</v>
      </c>
      <c r="C70" s="583">
        <f>SUM(C6:C10)-SUM(C17,C20,C23,C24,C27,C28,C29,C32,C35,C36,C37,C38,C39)-SUM(C46:C66)</f>
        <v>0</v>
      </c>
      <c r="D70" s="294">
        <f t="shared" ref="D70:N70" si="25">SUM(D6:D10)-SUM(D17,D20,D23,D24,D27,D28,D29,D32,D35,D36,D37,D38,D39)-SUM(D46:D66)</f>
        <v>0</v>
      </c>
      <c r="E70" s="294">
        <f t="shared" si="25"/>
        <v>0</v>
      </c>
      <c r="F70" s="294">
        <f t="shared" si="25"/>
        <v>0</v>
      </c>
      <c r="G70" s="294">
        <f t="shared" si="25"/>
        <v>291730</v>
      </c>
      <c r="H70" s="294">
        <f t="shared" si="25"/>
        <v>38500</v>
      </c>
      <c r="I70" s="294">
        <f t="shared" si="25"/>
        <v>38500</v>
      </c>
      <c r="J70" s="294">
        <f t="shared" si="25"/>
        <v>-51713</v>
      </c>
      <c r="K70" s="294">
        <f t="shared" si="25"/>
        <v>38500</v>
      </c>
      <c r="L70" s="294">
        <f t="shared" si="25"/>
        <v>438500</v>
      </c>
      <c r="M70" s="294">
        <f t="shared" si="25"/>
        <v>-661500</v>
      </c>
      <c r="N70" s="294">
        <f t="shared" si="25"/>
        <v>-62215</v>
      </c>
      <c r="O70" s="297">
        <f t="shared" si="15"/>
        <v>70302</v>
      </c>
      <c r="P70" s="1122"/>
    </row>
    <row r="71" spans="1:16" ht="45" customHeight="1" thickBot="1">
      <c r="A71" s="5"/>
      <c r="B71" s="589" t="s">
        <v>157</v>
      </c>
      <c r="C71" s="604">
        <f>C5+C12-C68+C69</f>
        <v>0</v>
      </c>
      <c r="D71" s="298">
        <f>D5+D12-D68+D69</f>
        <v>0</v>
      </c>
      <c r="E71" s="298">
        <f t="shared" ref="E71:N71" si="26">E5+E12-E68+E69</f>
        <v>0</v>
      </c>
      <c r="F71" s="298">
        <f t="shared" si="26"/>
        <v>0</v>
      </c>
      <c r="G71" s="298">
        <f t="shared" si="26"/>
        <v>291730</v>
      </c>
      <c r="H71" s="298">
        <f t="shared" si="26"/>
        <v>330230</v>
      </c>
      <c r="I71" s="298">
        <f t="shared" si="26"/>
        <v>368730</v>
      </c>
      <c r="J71" s="298">
        <f t="shared" si="26"/>
        <v>317017</v>
      </c>
      <c r="K71" s="298">
        <f t="shared" si="26"/>
        <v>355517</v>
      </c>
      <c r="L71" s="298">
        <f t="shared" si="26"/>
        <v>794017</v>
      </c>
      <c r="M71" s="298">
        <f t="shared" si="26"/>
        <v>132517</v>
      </c>
      <c r="N71" s="298">
        <f t="shared" si="26"/>
        <v>70302</v>
      </c>
      <c r="O71" s="310">
        <f>N71</f>
        <v>70302</v>
      </c>
      <c r="P71" s="308" t="s">
        <v>309</v>
      </c>
    </row>
    <row r="72" spans="1:16" ht="15">
      <c r="B72" s="450"/>
      <c r="C72" s="451"/>
      <c r="D72" s="451"/>
      <c r="E72" s="451"/>
      <c r="F72" s="451"/>
      <c r="G72" s="452"/>
      <c r="H72" s="452"/>
      <c r="I72" s="452"/>
      <c r="J72" s="452"/>
      <c r="K72" s="452"/>
      <c r="L72" s="452"/>
      <c r="M72" s="452"/>
      <c r="N72" s="452"/>
      <c r="O72" s="453"/>
    </row>
    <row r="73" spans="1:16" ht="168" customHeight="1">
      <c r="B73" s="1126" t="s">
        <v>458</v>
      </c>
      <c r="C73" s="1126"/>
      <c r="D73" s="1126"/>
      <c r="E73" s="1126"/>
      <c r="F73" s="1126"/>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24" t="s">
        <v>456</v>
      </c>
      <c r="C75" s="1124"/>
      <c r="D75" s="1124"/>
      <c r="E75" s="1124"/>
      <c r="F75" s="1124"/>
      <c r="G75" s="457"/>
      <c r="H75" s="457"/>
      <c r="I75" s="457"/>
      <c r="J75" s="457"/>
      <c r="K75" s="457"/>
      <c r="L75" s="457"/>
      <c r="M75" s="457"/>
      <c r="N75" s="457"/>
      <c r="O75" s="457"/>
    </row>
    <row r="76" spans="1:16" ht="25.5" customHeight="1">
      <c r="B76" s="1124" t="s">
        <v>457</v>
      </c>
      <c r="C76" s="1124"/>
      <c r="D76" s="1124"/>
      <c r="E76" s="1124"/>
      <c r="F76" s="1124"/>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25" t="s">
        <v>418</v>
      </c>
      <c r="C78" s="1125"/>
      <c r="D78" s="1125"/>
      <c r="E78" s="1125"/>
      <c r="F78" s="1125"/>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24" t="s">
        <v>456</v>
      </c>
      <c r="C81" s="1124"/>
      <c r="D81" s="1124"/>
      <c r="E81" s="1124"/>
      <c r="F81" s="1124"/>
      <c r="G81" s="457"/>
      <c r="H81" s="457"/>
      <c r="I81" s="457"/>
      <c r="J81" s="457"/>
      <c r="K81" s="457"/>
      <c r="L81" s="457"/>
      <c r="M81" s="457"/>
      <c r="N81" s="457"/>
      <c r="O81" s="45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view="pageBreakPreview" zoomScale="60" zoomScaleNormal="60" workbookViewId="0">
      <pane xSplit="2" ySplit="4" topLeftCell="C5" activePane="bottomRight" state="frozen"/>
      <selection activeCell="B13" sqref="B13"/>
      <selection pane="topRight" activeCell="B13" sqref="B13"/>
      <selection pane="bottomLeft" activeCell="B13" sqref="B13"/>
      <selection pane="bottomRight" activeCell="D9" sqref="D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0" customWidth="1"/>
    <col min="17" max="16384" width="9.140625" style="12"/>
  </cols>
  <sheetData>
    <row r="1" spans="1:16" ht="36.75" customHeight="1" thickBot="1">
      <c r="A1" s="5"/>
      <c r="B1" s="316" t="s">
        <v>497</v>
      </c>
      <c r="C1" s="525"/>
      <c r="D1" s="525"/>
      <c r="E1" s="525"/>
      <c r="F1" s="525"/>
      <c r="G1" s="525"/>
      <c r="H1" s="525"/>
      <c r="I1" s="525"/>
      <c r="J1" s="525"/>
      <c r="K1" s="525"/>
      <c r="L1" s="525"/>
      <c r="M1" s="525"/>
      <c r="N1" s="525"/>
      <c r="O1" s="526"/>
      <c r="P1" s="615" t="s">
        <v>204</v>
      </c>
    </row>
    <row r="2" spans="1:16" ht="20.25" customHeight="1" thickBot="1">
      <c r="A2" s="5"/>
      <c r="B2" s="588" t="s">
        <v>689</v>
      </c>
      <c r="C2" s="599">
        <v>1</v>
      </c>
      <c r="D2" s="321">
        <v>2</v>
      </c>
      <c r="E2" s="321">
        <v>3</v>
      </c>
      <c r="F2" s="321">
        <v>4</v>
      </c>
      <c r="G2" s="322">
        <v>5</v>
      </c>
      <c r="H2" s="322">
        <v>6</v>
      </c>
      <c r="I2" s="322">
        <v>7</v>
      </c>
      <c r="J2" s="322">
        <v>8</v>
      </c>
      <c r="K2" s="322">
        <v>9</v>
      </c>
      <c r="L2" s="322">
        <v>10</v>
      </c>
      <c r="M2" s="322">
        <v>11</v>
      </c>
      <c r="N2" s="322">
        <v>12</v>
      </c>
      <c r="O2" s="323" t="s">
        <v>104</v>
      </c>
      <c r="P2" s="614" t="s">
        <v>281</v>
      </c>
    </row>
    <row r="3" spans="1:16" ht="24.75" customHeight="1" thickBot="1">
      <c r="A3" s="5"/>
      <c r="B3" s="619" t="s">
        <v>308</v>
      </c>
      <c r="C3" s="600" t="s">
        <v>123</v>
      </c>
      <c r="D3" s="324" t="s">
        <v>124</v>
      </c>
      <c r="E3" s="324" t="s">
        <v>125</v>
      </c>
      <c r="F3" s="324" t="s">
        <v>126</v>
      </c>
      <c r="G3" s="324" t="s">
        <v>127</v>
      </c>
      <c r="H3" s="324" t="s">
        <v>128</v>
      </c>
      <c r="I3" s="324" t="s">
        <v>129</v>
      </c>
      <c r="J3" s="324" t="s">
        <v>211</v>
      </c>
      <c r="K3" s="324" t="s">
        <v>307</v>
      </c>
      <c r="L3" s="324" t="s">
        <v>212</v>
      </c>
      <c r="M3" s="324" t="s">
        <v>213</v>
      </c>
      <c r="N3" s="324" t="s">
        <v>214</v>
      </c>
      <c r="O3" s="325" t="s">
        <v>224</v>
      </c>
      <c r="P3" s="1038" t="s">
        <v>518</v>
      </c>
    </row>
    <row r="4" spans="1:16" ht="28.5" customHeight="1" thickBot="1">
      <c r="A4" s="5"/>
      <c r="B4" s="611" t="s">
        <v>130</v>
      </c>
      <c r="C4" s="18"/>
      <c r="D4" s="317"/>
      <c r="E4" s="317"/>
      <c r="F4" s="317"/>
      <c r="G4" s="318"/>
      <c r="H4" s="318"/>
      <c r="I4" s="318"/>
      <c r="J4" s="318"/>
      <c r="K4" s="318"/>
      <c r="L4" s="318"/>
      <c r="M4" s="318"/>
      <c r="N4" s="318"/>
      <c r="O4" s="319"/>
      <c r="P4" s="1116"/>
    </row>
    <row r="5" spans="1:16" ht="27.75" customHeight="1">
      <c r="A5" s="5"/>
      <c r="B5" s="590" t="s">
        <v>131</v>
      </c>
      <c r="C5" s="601">
        <f>'10.a-Cash-flow 1. év'!N71</f>
        <v>70302</v>
      </c>
      <c r="D5" s="295">
        <f>C71</f>
        <v>8802</v>
      </c>
      <c r="E5" s="295">
        <f t="shared" ref="E5:N5" si="0">D71</f>
        <v>1547152</v>
      </c>
      <c r="F5" s="295">
        <f t="shared" si="0"/>
        <v>1585652</v>
      </c>
      <c r="G5" s="295">
        <f t="shared" si="0"/>
        <v>1624152</v>
      </c>
      <c r="H5" s="295">
        <f t="shared" si="0"/>
        <v>1662652</v>
      </c>
      <c r="I5" s="295">
        <f t="shared" si="0"/>
        <v>1701152</v>
      </c>
      <c r="J5" s="295">
        <f t="shared" si="0"/>
        <v>1739652</v>
      </c>
      <c r="K5" s="295">
        <f t="shared" si="0"/>
        <v>1478152</v>
      </c>
      <c r="L5" s="295">
        <f t="shared" si="0"/>
        <v>1566652</v>
      </c>
      <c r="M5" s="295">
        <f t="shared" si="0"/>
        <v>1655152</v>
      </c>
      <c r="N5" s="295">
        <f t="shared" si="0"/>
        <v>1743652</v>
      </c>
      <c r="O5" s="541"/>
      <c r="P5" s="741" t="s">
        <v>493</v>
      </c>
    </row>
    <row r="6" spans="1:16" ht="27" customHeight="1">
      <c r="A6" s="5"/>
      <c r="B6" s="591" t="s">
        <v>132</v>
      </c>
      <c r="C6" s="583">
        <v>300000</v>
      </c>
      <c r="D6" s="294">
        <v>400000</v>
      </c>
      <c r="E6" s="294">
        <v>400000</v>
      </c>
      <c r="F6" s="294">
        <v>400000</v>
      </c>
      <c r="G6" s="294">
        <v>400000</v>
      </c>
      <c r="H6" s="294">
        <v>400000</v>
      </c>
      <c r="I6" s="294">
        <v>400000</v>
      </c>
      <c r="J6" s="294">
        <v>400000</v>
      </c>
      <c r="K6" s="294">
        <v>450000</v>
      </c>
      <c r="L6" s="294">
        <v>450000</v>
      </c>
      <c r="M6" s="294">
        <v>450000</v>
      </c>
      <c r="N6" s="294">
        <v>450000</v>
      </c>
      <c r="O6" s="297">
        <f>SUM(C6:N6)</f>
        <v>4900000</v>
      </c>
      <c r="P6" s="742"/>
    </row>
    <row r="7" spans="1:16" ht="32.25" customHeight="1">
      <c r="A7" s="5"/>
      <c r="B7" s="625" t="s">
        <v>133</v>
      </c>
      <c r="C7" s="583"/>
      <c r="D7" s="294"/>
      <c r="E7" s="294"/>
      <c r="F7" s="294"/>
      <c r="G7" s="294"/>
      <c r="H7" s="294"/>
      <c r="I7" s="294"/>
      <c r="J7" s="294"/>
      <c r="K7" s="300"/>
      <c r="L7" s="300"/>
      <c r="M7" s="300"/>
      <c r="N7" s="300"/>
      <c r="O7" s="297">
        <f t="shared" ref="O7:O12" si="1">SUM(C7:N7)</f>
        <v>0</v>
      </c>
      <c r="P7" s="742"/>
    </row>
    <row r="8" spans="1:16" ht="32.25" customHeight="1">
      <c r="A8" s="5"/>
      <c r="B8" s="625" t="s">
        <v>134</v>
      </c>
      <c r="C8" s="583"/>
      <c r="D8" s="294"/>
      <c r="E8" s="294"/>
      <c r="F8" s="294"/>
      <c r="G8" s="294"/>
      <c r="H8" s="294"/>
      <c r="I8" s="294"/>
      <c r="J8" s="294"/>
      <c r="K8" s="300"/>
      <c r="L8" s="300"/>
      <c r="M8" s="300"/>
      <c r="N8" s="300"/>
      <c r="O8" s="297">
        <f t="shared" si="1"/>
        <v>0</v>
      </c>
      <c r="P8" s="742"/>
    </row>
    <row r="9" spans="1:16" ht="32.25" customHeight="1">
      <c r="A9" s="5"/>
      <c r="B9" s="625" t="s">
        <v>135</v>
      </c>
      <c r="C9" s="583"/>
      <c r="D9" s="294">
        <v>1499850</v>
      </c>
      <c r="E9" s="294"/>
      <c r="F9" s="294"/>
      <c r="G9" s="294"/>
      <c r="H9" s="294"/>
      <c r="I9" s="294"/>
      <c r="J9" s="294"/>
      <c r="K9" s="300"/>
      <c r="L9" s="300"/>
      <c r="M9" s="300"/>
      <c r="N9" s="300"/>
      <c r="O9" s="297">
        <f t="shared" si="1"/>
        <v>1499850</v>
      </c>
      <c r="P9" s="742"/>
    </row>
    <row r="10" spans="1:16" ht="32.25" customHeight="1">
      <c r="A10" s="5"/>
      <c r="B10" s="625" t="s">
        <v>136</v>
      </c>
      <c r="C10" s="583"/>
      <c r="D10" s="294"/>
      <c r="E10" s="294"/>
      <c r="F10" s="294"/>
      <c r="G10" s="294"/>
      <c r="H10" s="294"/>
      <c r="I10" s="294"/>
      <c r="J10" s="294"/>
      <c r="K10" s="300"/>
      <c r="L10" s="300"/>
      <c r="M10" s="300"/>
      <c r="N10" s="300"/>
      <c r="O10" s="297">
        <f t="shared" si="1"/>
        <v>0</v>
      </c>
      <c r="P10" s="742"/>
    </row>
    <row r="11" spans="1:16" ht="32.25" customHeight="1" thickBot="1">
      <c r="A11" s="5"/>
      <c r="B11" s="591" t="s">
        <v>137</v>
      </c>
      <c r="C11" s="602"/>
      <c r="D11" s="302"/>
      <c r="E11" s="302"/>
      <c r="F11" s="302"/>
      <c r="G11" s="302"/>
      <c r="H11" s="302"/>
      <c r="I11" s="302"/>
      <c r="J11" s="302"/>
      <c r="K11" s="302"/>
      <c r="L11" s="302"/>
      <c r="M11" s="302"/>
      <c r="N11" s="302"/>
      <c r="O11" s="303">
        <f t="shared" si="1"/>
        <v>0</v>
      </c>
      <c r="P11" s="742"/>
    </row>
    <row r="12" spans="1:16" ht="32.25" customHeight="1" thickBot="1">
      <c r="A12" s="5"/>
      <c r="B12" s="592" t="s">
        <v>138</v>
      </c>
      <c r="C12" s="603">
        <f>SUM(C6:C11)</f>
        <v>300000</v>
      </c>
      <c r="D12" s="306">
        <f t="shared" ref="D12:N12" si="2">SUM(D6:D11)</f>
        <v>1899850</v>
      </c>
      <c r="E12" s="306">
        <f t="shared" si="2"/>
        <v>400000</v>
      </c>
      <c r="F12" s="306">
        <f t="shared" si="2"/>
        <v>400000</v>
      </c>
      <c r="G12" s="306">
        <f t="shared" si="2"/>
        <v>400000</v>
      </c>
      <c r="H12" s="306">
        <f t="shared" si="2"/>
        <v>400000</v>
      </c>
      <c r="I12" s="306">
        <f t="shared" si="2"/>
        <v>400000</v>
      </c>
      <c r="J12" s="306">
        <f t="shared" si="2"/>
        <v>400000</v>
      </c>
      <c r="K12" s="306">
        <f t="shared" si="2"/>
        <v>450000</v>
      </c>
      <c r="L12" s="306">
        <f t="shared" si="2"/>
        <v>450000</v>
      </c>
      <c r="M12" s="306">
        <f t="shared" si="2"/>
        <v>450000</v>
      </c>
      <c r="N12" s="306">
        <f t="shared" si="2"/>
        <v>450000</v>
      </c>
      <c r="O12" s="307">
        <f t="shared" si="1"/>
        <v>6399850</v>
      </c>
      <c r="P12" s="742"/>
    </row>
    <row r="13" spans="1:16" ht="14.25" customHeight="1" thickBot="1">
      <c r="A13" s="5"/>
      <c r="B13" s="593"/>
      <c r="C13" s="1118"/>
      <c r="D13" s="1119"/>
      <c r="E13" s="1119"/>
      <c r="F13" s="1119"/>
      <c r="G13" s="1119"/>
      <c r="H13" s="1119"/>
      <c r="I13" s="1119"/>
      <c r="J13" s="1119"/>
      <c r="K13" s="1119"/>
      <c r="L13" s="1119"/>
      <c r="M13" s="1119"/>
      <c r="N13" s="1119"/>
      <c r="O13" s="1120"/>
      <c r="P13" s="742"/>
    </row>
    <row r="14" spans="1:16" ht="32.25" customHeight="1" thickBot="1">
      <c r="A14" s="5"/>
      <c r="B14" s="620" t="s">
        <v>139</v>
      </c>
      <c r="C14" s="312"/>
      <c r="D14" s="313"/>
      <c r="E14" s="313"/>
      <c r="F14" s="313"/>
      <c r="G14" s="314"/>
      <c r="H14" s="314"/>
      <c r="I14" s="314"/>
      <c r="J14" s="314"/>
      <c r="K14" s="314"/>
      <c r="L14" s="314"/>
      <c r="M14" s="314"/>
      <c r="N14" s="314"/>
      <c r="O14" s="315"/>
      <c r="P14" s="742" t="s">
        <v>409</v>
      </c>
    </row>
    <row r="15" spans="1:16" ht="32.25" customHeight="1">
      <c r="A15" s="5"/>
      <c r="B15" s="594" t="s">
        <v>465</v>
      </c>
      <c r="C15" s="601">
        <f>SUM(C17,C20,C23,C24,C27,C28,C29,C32,C35,C36,C37,C38,C39,C44)</f>
        <v>0</v>
      </c>
      <c r="D15" s="295">
        <f t="shared" ref="D15:N15" si="3">SUM(D17,D20,D23,D24,D27,D28,D29,D32,D35,D36,D37,D38,D39,D44)</f>
        <v>0</v>
      </c>
      <c r="E15" s="295">
        <f t="shared" si="3"/>
        <v>0</v>
      </c>
      <c r="F15" s="295">
        <f t="shared" si="3"/>
        <v>0</v>
      </c>
      <c r="G15" s="295">
        <f t="shared" si="3"/>
        <v>0</v>
      </c>
      <c r="H15" s="295">
        <f t="shared" si="3"/>
        <v>0</v>
      </c>
      <c r="I15" s="295">
        <f t="shared" si="3"/>
        <v>0</v>
      </c>
      <c r="J15" s="295">
        <f t="shared" si="3"/>
        <v>0</v>
      </c>
      <c r="K15" s="295">
        <f t="shared" si="3"/>
        <v>0</v>
      </c>
      <c r="L15" s="295">
        <f t="shared" si="3"/>
        <v>0</v>
      </c>
      <c r="M15" s="295">
        <f t="shared" si="3"/>
        <v>0</v>
      </c>
      <c r="N15" s="295">
        <f t="shared" si="3"/>
        <v>0</v>
      </c>
      <c r="O15" s="296">
        <f t="shared" ref="O15:O70" si="4">SUM(C15:N15)</f>
        <v>0</v>
      </c>
      <c r="P15" s="742"/>
    </row>
    <row r="16" spans="1:16" ht="39" customHeight="1" thickBot="1">
      <c r="A16" s="5"/>
      <c r="B16" s="589" t="s">
        <v>492</v>
      </c>
      <c r="C16" s="604">
        <f>C15*0.9</f>
        <v>0</v>
      </c>
      <c r="D16" s="298">
        <f t="shared" ref="D16:N16" si="5">D15*0.9</f>
        <v>0</v>
      </c>
      <c r="E16" s="298">
        <f t="shared" si="5"/>
        <v>0</v>
      </c>
      <c r="F16" s="298">
        <f t="shared" si="5"/>
        <v>0</v>
      </c>
      <c r="G16" s="298">
        <f t="shared" si="5"/>
        <v>0</v>
      </c>
      <c r="H16" s="298">
        <f t="shared" si="5"/>
        <v>0</v>
      </c>
      <c r="I16" s="298">
        <f t="shared" si="5"/>
        <v>0</v>
      </c>
      <c r="J16" s="298">
        <f t="shared" si="5"/>
        <v>0</v>
      </c>
      <c r="K16" s="298">
        <f t="shared" si="5"/>
        <v>0</v>
      </c>
      <c r="L16" s="298">
        <f t="shared" si="5"/>
        <v>0</v>
      </c>
      <c r="M16" s="298">
        <f t="shared" si="5"/>
        <v>0</v>
      </c>
      <c r="N16" s="298">
        <f t="shared" si="5"/>
        <v>0</v>
      </c>
      <c r="O16" s="299">
        <f t="shared" si="4"/>
        <v>0</v>
      </c>
      <c r="P16" s="742" t="s">
        <v>495</v>
      </c>
    </row>
    <row r="17" spans="1:16" ht="48.95" customHeight="1" thickBot="1">
      <c r="A17" s="5"/>
      <c r="B17" s="626" t="s">
        <v>466</v>
      </c>
      <c r="C17" s="605">
        <f>SUM(C18:C19)</f>
        <v>0</v>
      </c>
      <c r="D17" s="304">
        <f t="shared" ref="D17:N17" si="6">SUM(D18:D19)</f>
        <v>0</v>
      </c>
      <c r="E17" s="304">
        <f t="shared" si="6"/>
        <v>0</v>
      </c>
      <c r="F17" s="304">
        <f t="shared" si="6"/>
        <v>0</v>
      </c>
      <c r="G17" s="304">
        <f t="shared" si="6"/>
        <v>0</v>
      </c>
      <c r="H17" s="304">
        <f t="shared" si="6"/>
        <v>0</v>
      </c>
      <c r="I17" s="304">
        <f t="shared" si="6"/>
        <v>0</v>
      </c>
      <c r="J17" s="304">
        <f t="shared" si="6"/>
        <v>0</v>
      </c>
      <c r="K17" s="304">
        <f t="shared" si="6"/>
        <v>0</v>
      </c>
      <c r="L17" s="304">
        <f t="shared" si="6"/>
        <v>0</v>
      </c>
      <c r="M17" s="304">
        <f t="shared" si="6"/>
        <v>0</v>
      </c>
      <c r="N17" s="304">
        <f t="shared" si="6"/>
        <v>0</v>
      </c>
      <c r="O17" s="486">
        <f t="shared" si="4"/>
        <v>0</v>
      </c>
      <c r="P17" s="743"/>
    </row>
    <row r="18" spans="1:16" ht="48.95" customHeight="1">
      <c r="A18" s="5"/>
      <c r="B18" s="627" t="s">
        <v>467</v>
      </c>
      <c r="C18" s="583"/>
      <c r="D18" s="294"/>
      <c r="E18" s="294"/>
      <c r="F18" s="294"/>
      <c r="G18" s="294"/>
      <c r="H18" s="294"/>
      <c r="I18" s="294"/>
      <c r="J18" s="294"/>
      <c r="K18" s="294"/>
      <c r="L18" s="294"/>
      <c r="M18" s="294"/>
      <c r="N18" s="294"/>
      <c r="O18" s="487">
        <f t="shared" si="4"/>
        <v>0</v>
      </c>
      <c r="P18" s="617"/>
    </row>
    <row r="19" spans="1:16" ht="48.95" customHeight="1">
      <c r="A19" s="5"/>
      <c r="B19" s="627" t="s">
        <v>146</v>
      </c>
      <c r="C19" s="583"/>
      <c r="D19" s="294"/>
      <c r="E19" s="294"/>
      <c r="F19" s="294"/>
      <c r="G19" s="294"/>
      <c r="H19" s="294"/>
      <c r="I19" s="294"/>
      <c r="J19" s="294"/>
      <c r="K19" s="294"/>
      <c r="L19" s="294"/>
      <c r="M19" s="294"/>
      <c r="N19" s="294"/>
      <c r="O19" s="487">
        <f t="shared" si="4"/>
        <v>0</v>
      </c>
      <c r="P19" s="617"/>
    </row>
    <row r="20" spans="1:16" ht="69.75" customHeight="1">
      <c r="A20" s="5"/>
      <c r="B20" s="626" t="s">
        <v>468</v>
      </c>
      <c r="C20" s="583">
        <f>SUM(C21:C22)</f>
        <v>0</v>
      </c>
      <c r="D20" s="294">
        <f t="shared" ref="D20:N20" si="7">SUM(D21:D22)</f>
        <v>0</v>
      </c>
      <c r="E20" s="294">
        <f t="shared" si="7"/>
        <v>0</v>
      </c>
      <c r="F20" s="294">
        <f t="shared" si="7"/>
        <v>0</v>
      </c>
      <c r="G20" s="294">
        <f t="shared" si="7"/>
        <v>0</v>
      </c>
      <c r="H20" s="294">
        <f t="shared" si="7"/>
        <v>0</v>
      </c>
      <c r="I20" s="294">
        <f t="shared" si="7"/>
        <v>0</v>
      </c>
      <c r="J20" s="294">
        <f t="shared" si="7"/>
        <v>0</v>
      </c>
      <c r="K20" s="294">
        <f t="shared" si="7"/>
        <v>0</v>
      </c>
      <c r="L20" s="294">
        <f t="shared" si="7"/>
        <v>0</v>
      </c>
      <c r="M20" s="294">
        <f t="shared" si="7"/>
        <v>0</v>
      </c>
      <c r="N20" s="294">
        <f t="shared" si="7"/>
        <v>0</v>
      </c>
      <c r="O20" s="487">
        <f t="shared" si="4"/>
        <v>0</v>
      </c>
      <c r="P20" s="1123"/>
    </row>
    <row r="21" spans="1:16" ht="48.95" customHeight="1">
      <c r="A21" s="5"/>
      <c r="B21" s="627" t="s">
        <v>469</v>
      </c>
      <c r="C21" s="583"/>
      <c r="D21" s="294"/>
      <c r="E21" s="294"/>
      <c r="F21" s="294"/>
      <c r="G21" s="294"/>
      <c r="H21" s="294"/>
      <c r="I21" s="294"/>
      <c r="J21" s="294"/>
      <c r="K21" s="294"/>
      <c r="L21" s="294"/>
      <c r="M21" s="294"/>
      <c r="N21" s="294"/>
      <c r="O21" s="487">
        <f t="shared" si="4"/>
        <v>0</v>
      </c>
      <c r="P21" s="1123"/>
    </row>
    <row r="22" spans="1:16" ht="48.95" customHeight="1">
      <c r="A22" s="5"/>
      <c r="B22" s="627" t="s">
        <v>470</v>
      </c>
      <c r="C22" s="583"/>
      <c r="D22" s="294"/>
      <c r="E22" s="294"/>
      <c r="F22" s="294"/>
      <c r="G22" s="294"/>
      <c r="H22" s="294"/>
      <c r="I22" s="294"/>
      <c r="J22" s="294"/>
      <c r="K22" s="294"/>
      <c r="L22" s="294"/>
      <c r="M22" s="294"/>
      <c r="N22" s="294"/>
      <c r="O22" s="487">
        <f t="shared" si="4"/>
        <v>0</v>
      </c>
      <c r="P22" s="1123"/>
    </row>
    <row r="23" spans="1:16" ht="97.5" customHeight="1">
      <c r="A23" s="5"/>
      <c r="B23" s="626" t="s">
        <v>471</v>
      </c>
      <c r="C23" s="583"/>
      <c r="D23" s="294"/>
      <c r="E23" s="294"/>
      <c r="F23" s="294"/>
      <c r="G23" s="294"/>
      <c r="H23" s="294"/>
      <c r="I23" s="294"/>
      <c r="J23" s="294"/>
      <c r="K23" s="294"/>
      <c r="L23" s="294"/>
      <c r="M23" s="294"/>
      <c r="N23" s="294"/>
      <c r="O23" s="487">
        <f t="shared" si="4"/>
        <v>0</v>
      </c>
      <c r="P23" s="1123"/>
    </row>
    <row r="24" spans="1:16" ht="48.95" customHeight="1">
      <c r="A24" s="5"/>
      <c r="B24" s="626" t="s">
        <v>472</v>
      </c>
      <c r="C24" s="583">
        <f>SUM(C25:C26)</f>
        <v>0</v>
      </c>
      <c r="D24" s="294">
        <f t="shared" ref="D24:N24" si="8">SUM(D25:D26)</f>
        <v>0</v>
      </c>
      <c r="E24" s="294">
        <f t="shared" si="8"/>
        <v>0</v>
      </c>
      <c r="F24" s="294">
        <f t="shared" si="8"/>
        <v>0</v>
      </c>
      <c r="G24" s="294">
        <f t="shared" si="8"/>
        <v>0</v>
      </c>
      <c r="H24" s="294">
        <f t="shared" si="8"/>
        <v>0</v>
      </c>
      <c r="I24" s="294">
        <f t="shared" si="8"/>
        <v>0</v>
      </c>
      <c r="J24" s="294">
        <f t="shared" si="8"/>
        <v>0</v>
      </c>
      <c r="K24" s="294">
        <f t="shared" si="8"/>
        <v>0</v>
      </c>
      <c r="L24" s="294">
        <f t="shared" si="8"/>
        <v>0</v>
      </c>
      <c r="M24" s="294">
        <f t="shared" si="8"/>
        <v>0</v>
      </c>
      <c r="N24" s="294">
        <f t="shared" si="8"/>
        <v>0</v>
      </c>
      <c r="O24" s="487">
        <f t="shared" si="4"/>
        <v>0</v>
      </c>
      <c r="P24" s="617"/>
    </row>
    <row r="25" spans="1:16" ht="48.95" customHeight="1">
      <c r="A25" s="5"/>
      <c r="B25" s="627" t="s">
        <v>473</v>
      </c>
      <c r="C25" s="583"/>
      <c r="D25" s="294"/>
      <c r="E25" s="294"/>
      <c r="F25" s="294"/>
      <c r="G25" s="294"/>
      <c r="H25" s="294"/>
      <c r="I25" s="294"/>
      <c r="J25" s="294"/>
      <c r="K25" s="294"/>
      <c r="L25" s="294"/>
      <c r="M25" s="294"/>
      <c r="N25" s="294"/>
      <c r="O25" s="487">
        <f t="shared" si="4"/>
        <v>0</v>
      </c>
      <c r="P25" s="617"/>
    </row>
    <row r="26" spans="1:16" ht="48.95" customHeight="1">
      <c r="A26" s="5"/>
      <c r="B26" s="627" t="s">
        <v>474</v>
      </c>
      <c r="C26" s="583"/>
      <c r="D26" s="294"/>
      <c r="E26" s="294"/>
      <c r="F26" s="294"/>
      <c r="G26" s="294"/>
      <c r="H26" s="294"/>
      <c r="I26" s="294"/>
      <c r="J26" s="294"/>
      <c r="K26" s="294"/>
      <c r="L26" s="294"/>
      <c r="M26" s="294"/>
      <c r="N26" s="294"/>
      <c r="O26" s="487">
        <f t="shared" si="4"/>
        <v>0</v>
      </c>
      <c r="P26" s="617"/>
    </row>
    <row r="27" spans="1:16" ht="69.75" customHeight="1">
      <c r="A27" s="5"/>
      <c r="B27" s="626" t="s">
        <v>475</v>
      </c>
      <c r="C27" s="583"/>
      <c r="D27" s="294"/>
      <c r="E27" s="294"/>
      <c r="F27" s="294"/>
      <c r="G27" s="294"/>
      <c r="H27" s="294"/>
      <c r="I27" s="294"/>
      <c r="J27" s="294"/>
      <c r="K27" s="294"/>
      <c r="L27" s="294"/>
      <c r="M27" s="294"/>
      <c r="N27" s="294"/>
      <c r="O27" s="487">
        <f t="shared" si="4"/>
        <v>0</v>
      </c>
      <c r="P27" s="617"/>
    </row>
    <row r="28" spans="1:16" ht="78.75" customHeight="1">
      <c r="A28" s="5"/>
      <c r="B28" s="626" t="s">
        <v>476</v>
      </c>
      <c r="C28" s="583"/>
      <c r="D28" s="294"/>
      <c r="E28" s="294"/>
      <c r="F28" s="294"/>
      <c r="G28" s="294"/>
      <c r="H28" s="294"/>
      <c r="I28" s="294"/>
      <c r="J28" s="294"/>
      <c r="K28" s="294"/>
      <c r="L28" s="294"/>
      <c r="M28" s="294"/>
      <c r="N28" s="294"/>
      <c r="O28" s="487">
        <f t="shared" si="4"/>
        <v>0</v>
      </c>
      <c r="P28" s="617"/>
    </row>
    <row r="29" spans="1:16" ht="48.95" customHeight="1">
      <c r="A29" s="5"/>
      <c r="B29" s="628" t="s">
        <v>477</v>
      </c>
      <c r="C29" s="583">
        <f>SUM(C30:C31)</f>
        <v>0</v>
      </c>
      <c r="D29" s="294">
        <f t="shared" ref="D29:N29" si="9">SUM(D30:D31)</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487">
        <f t="shared" si="4"/>
        <v>0</v>
      </c>
      <c r="P29" s="1123"/>
    </row>
    <row r="30" spans="1:16" ht="48.95" customHeight="1">
      <c r="A30" s="5"/>
      <c r="B30" s="627" t="s">
        <v>478</v>
      </c>
      <c r="C30" s="583"/>
      <c r="D30" s="294"/>
      <c r="E30" s="294"/>
      <c r="F30" s="294"/>
      <c r="G30" s="294"/>
      <c r="H30" s="294"/>
      <c r="I30" s="294"/>
      <c r="J30" s="294"/>
      <c r="K30" s="294"/>
      <c r="L30" s="294"/>
      <c r="M30" s="294"/>
      <c r="N30" s="294"/>
      <c r="O30" s="487">
        <f t="shared" si="4"/>
        <v>0</v>
      </c>
      <c r="P30" s="1123"/>
    </row>
    <row r="31" spans="1:16" ht="48.95" customHeight="1">
      <c r="A31" s="5"/>
      <c r="B31" s="627" t="s">
        <v>479</v>
      </c>
      <c r="C31" s="583"/>
      <c r="D31" s="294"/>
      <c r="E31" s="294"/>
      <c r="F31" s="294"/>
      <c r="G31" s="294"/>
      <c r="H31" s="294"/>
      <c r="I31" s="294"/>
      <c r="J31" s="294"/>
      <c r="K31" s="294"/>
      <c r="L31" s="294"/>
      <c r="M31" s="294"/>
      <c r="N31" s="294"/>
      <c r="O31" s="487">
        <f t="shared" si="4"/>
        <v>0</v>
      </c>
      <c r="P31" s="1123"/>
    </row>
    <row r="32" spans="1:16" ht="48.95" customHeight="1">
      <c r="A32" s="5"/>
      <c r="B32" s="628" t="s">
        <v>480</v>
      </c>
      <c r="C32" s="583">
        <f>SUM(C33:C34)</f>
        <v>0</v>
      </c>
      <c r="D32" s="294">
        <f t="shared" ref="D32:N32" si="10">SUM(D33:D34)</f>
        <v>0</v>
      </c>
      <c r="E32" s="294">
        <f t="shared" si="10"/>
        <v>0</v>
      </c>
      <c r="F32" s="294">
        <f t="shared" si="10"/>
        <v>0</v>
      </c>
      <c r="G32" s="294">
        <f t="shared" si="10"/>
        <v>0</v>
      </c>
      <c r="H32" s="294">
        <f t="shared" si="10"/>
        <v>0</v>
      </c>
      <c r="I32" s="294">
        <f t="shared" si="10"/>
        <v>0</v>
      </c>
      <c r="J32" s="294">
        <f t="shared" si="10"/>
        <v>0</v>
      </c>
      <c r="K32" s="294">
        <f t="shared" si="10"/>
        <v>0</v>
      </c>
      <c r="L32" s="294">
        <f t="shared" si="10"/>
        <v>0</v>
      </c>
      <c r="M32" s="294">
        <f t="shared" si="10"/>
        <v>0</v>
      </c>
      <c r="N32" s="294">
        <f t="shared" si="10"/>
        <v>0</v>
      </c>
      <c r="O32" s="487">
        <f t="shared" si="4"/>
        <v>0</v>
      </c>
      <c r="P32" s="617"/>
    </row>
    <row r="33" spans="1:16" ht="48.95" customHeight="1">
      <c r="A33" s="5"/>
      <c r="B33" s="627" t="s">
        <v>481</v>
      </c>
      <c r="C33" s="583"/>
      <c r="D33" s="294"/>
      <c r="E33" s="294"/>
      <c r="F33" s="294"/>
      <c r="G33" s="294"/>
      <c r="H33" s="294"/>
      <c r="I33" s="294"/>
      <c r="J33" s="294"/>
      <c r="K33" s="294"/>
      <c r="L33" s="294"/>
      <c r="M33" s="294"/>
      <c r="N33" s="294"/>
      <c r="O33" s="487">
        <f t="shared" si="4"/>
        <v>0</v>
      </c>
      <c r="P33" s="617"/>
    </row>
    <row r="34" spans="1:16" ht="48.95" customHeight="1">
      <c r="A34" s="5"/>
      <c r="B34" s="627" t="s">
        <v>482</v>
      </c>
      <c r="C34" s="583"/>
      <c r="D34" s="294"/>
      <c r="E34" s="294"/>
      <c r="F34" s="294"/>
      <c r="G34" s="294"/>
      <c r="H34" s="294"/>
      <c r="I34" s="294"/>
      <c r="J34" s="294"/>
      <c r="K34" s="294"/>
      <c r="L34" s="294"/>
      <c r="M34" s="294"/>
      <c r="N34" s="294"/>
      <c r="O34" s="487">
        <f t="shared" si="4"/>
        <v>0</v>
      </c>
      <c r="P34" s="617"/>
    </row>
    <row r="35" spans="1:16" ht="81" customHeight="1">
      <c r="A35" s="5"/>
      <c r="B35" s="626" t="s">
        <v>483</v>
      </c>
      <c r="C35" s="583"/>
      <c r="D35" s="294"/>
      <c r="E35" s="294"/>
      <c r="F35" s="294"/>
      <c r="G35" s="294"/>
      <c r="H35" s="294"/>
      <c r="I35" s="294"/>
      <c r="J35" s="294"/>
      <c r="K35" s="294"/>
      <c r="L35" s="294"/>
      <c r="M35" s="294"/>
      <c r="N35" s="294"/>
      <c r="O35" s="487">
        <f t="shared" si="4"/>
        <v>0</v>
      </c>
      <c r="P35" s="617"/>
    </row>
    <row r="36" spans="1:16" ht="69" customHeight="1">
      <c r="A36" s="5"/>
      <c r="B36" s="626" t="s">
        <v>484</v>
      </c>
      <c r="C36" s="583"/>
      <c r="D36" s="294"/>
      <c r="E36" s="294"/>
      <c r="F36" s="294"/>
      <c r="G36" s="294"/>
      <c r="H36" s="294"/>
      <c r="I36" s="294"/>
      <c r="J36" s="294"/>
      <c r="K36" s="294"/>
      <c r="L36" s="294"/>
      <c r="M36" s="294"/>
      <c r="N36" s="294"/>
      <c r="O36" s="487">
        <f t="shared" si="4"/>
        <v>0</v>
      </c>
      <c r="P36" s="617"/>
    </row>
    <row r="37" spans="1:16" ht="82.5" customHeight="1">
      <c r="A37" s="5"/>
      <c r="B37" s="626" t="s">
        <v>485</v>
      </c>
      <c r="C37" s="583"/>
      <c r="D37" s="294"/>
      <c r="E37" s="294"/>
      <c r="F37" s="294"/>
      <c r="G37" s="294"/>
      <c r="H37" s="294"/>
      <c r="I37" s="294"/>
      <c r="J37" s="294"/>
      <c r="K37" s="294"/>
      <c r="L37" s="294"/>
      <c r="M37" s="294"/>
      <c r="N37" s="294"/>
      <c r="O37" s="487">
        <f t="shared" si="4"/>
        <v>0</v>
      </c>
      <c r="P37" s="617"/>
    </row>
    <row r="38" spans="1:16" ht="62.25" customHeight="1">
      <c r="A38" s="5"/>
      <c r="B38" s="626" t="s">
        <v>486</v>
      </c>
      <c r="C38" s="583"/>
      <c r="D38" s="294"/>
      <c r="E38" s="294"/>
      <c r="F38" s="294"/>
      <c r="G38" s="294"/>
      <c r="H38" s="294"/>
      <c r="I38" s="294"/>
      <c r="J38" s="294"/>
      <c r="K38" s="294"/>
      <c r="L38" s="294"/>
      <c r="M38" s="294"/>
      <c r="N38" s="294"/>
      <c r="O38" s="487">
        <f t="shared" si="4"/>
        <v>0</v>
      </c>
      <c r="P38" s="617"/>
    </row>
    <row r="39" spans="1:16" ht="67.5" customHeight="1">
      <c r="A39" s="5"/>
      <c r="B39" s="626" t="s">
        <v>487</v>
      </c>
      <c r="C39" s="583">
        <f>SUM(C40:C43)</f>
        <v>0</v>
      </c>
      <c r="D39" s="294">
        <f t="shared" ref="D39:N39" si="11">SUM(D40:D43)</f>
        <v>0</v>
      </c>
      <c r="E39" s="294">
        <f t="shared" si="11"/>
        <v>0</v>
      </c>
      <c r="F39" s="294">
        <f t="shared" si="11"/>
        <v>0</v>
      </c>
      <c r="G39" s="294">
        <f t="shared" si="11"/>
        <v>0</v>
      </c>
      <c r="H39" s="294">
        <f t="shared" si="11"/>
        <v>0</v>
      </c>
      <c r="I39" s="294">
        <f t="shared" si="11"/>
        <v>0</v>
      </c>
      <c r="J39" s="294">
        <f t="shared" si="11"/>
        <v>0</v>
      </c>
      <c r="K39" s="294">
        <f t="shared" si="11"/>
        <v>0</v>
      </c>
      <c r="L39" s="294">
        <f t="shared" si="11"/>
        <v>0</v>
      </c>
      <c r="M39" s="294">
        <f t="shared" si="11"/>
        <v>0</v>
      </c>
      <c r="N39" s="294">
        <f t="shared" si="11"/>
        <v>0</v>
      </c>
      <c r="O39" s="487">
        <f t="shared" si="4"/>
        <v>0</v>
      </c>
      <c r="P39" s="617"/>
    </row>
    <row r="40" spans="1:16" ht="48.95" customHeight="1">
      <c r="A40" s="5"/>
      <c r="B40" s="627" t="s">
        <v>488</v>
      </c>
      <c r="C40" s="583"/>
      <c r="D40" s="294"/>
      <c r="E40" s="294"/>
      <c r="F40" s="294"/>
      <c r="G40" s="294"/>
      <c r="H40" s="294"/>
      <c r="I40" s="294"/>
      <c r="J40" s="294"/>
      <c r="K40" s="294"/>
      <c r="L40" s="294"/>
      <c r="M40" s="294"/>
      <c r="N40" s="294"/>
      <c r="O40" s="487">
        <f t="shared" si="4"/>
        <v>0</v>
      </c>
      <c r="P40" s="617"/>
    </row>
    <row r="41" spans="1:16" ht="48.95" customHeight="1">
      <c r="A41" s="5"/>
      <c r="B41" s="627" t="s">
        <v>489</v>
      </c>
      <c r="C41" s="583"/>
      <c r="D41" s="294"/>
      <c r="E41" s="294"/>
      <c r="F41" s="294"/>
      <c r="G41" s="294"/>
      <c r="H41" s="294"/>
      <c r="I41" s="294"/>
      <c r="J41" s="294"/>
      <c r="K41" s="294"/>
      <c r="L41" s="294"/>
      <c r="M41" s="294"/>
      <c r="N41" s="294"/>
      <c r="O41" s="487">
        <f t="shared" si="4"/>
        <v>0</v>
      </c>
      <c r="P41" s="617"/>
    </row>
    <row r="42" spans="1:16" ht="48.95" customHeight="1">
      <c r="A42" s="5"/>
      <c r="B42" s="627" t="s">
        <v>490</v>
      </c>
      <c r="C42" s="583"/>
      <c r="D42" s="294"/>
      <c r="E42" s="294"/>
      <c r="F42" s="294"/>
      <c r="G42" s="294"/>
      <c r="H42" s="294"/>
      <c r="I42" s="294"/>
      <c r="J42" s="294"/>
      <c r="K42" s="294"/>
      <c r="L42" s="294"/>
      <c r="M42" s="294"/>
      <c r="N42" s="294"/>
      <c r="O42" s="487">
        <f t="shared" si="4"/>
        <v>0</v>
      </c>
      <c r="P42" s="617"/>
    </row>
    <row r="43" spans="1:16" ht="48.95" customHeight="1">
      <c r="A43" s="5"/>
      <c r="B43" s="627" t="s">
        <v>491</v>
      </c>
      <c r="C43" s="583"/>
      <c r="D43" s="294"/>
      <c r="E43" s="294"/>
      <c r="F43" s="294"/>
      <c r="G43" s="294"/>
      <c r="H43" s="294"/>
      <c r="I43" s="294"/>
      <c r="J43" s="294"/>
      <c r="K43" s="294"/>
      <c r="L43" s="294"/>
      <c r="M43" s="294"/>
      <c r="N43" s="294"/>
      <c r="O43" s="487">
        <f t="shared" si="4"/>
        <v>0</v>
      </c>
      <c r="P43" s="617"/>
    </row>
    <row r="44" spans="1:16" ht="48.95" customHeight="1" thickBot="1">
      <c r="A44" s="5"/>
      <c r="B44" s="626" t="s">
        <v>149</v>
      </c>
      <c r="C44" s="583"/>
      <c r="D44" s="294"/>
      <c r="E44" s="294"/>
      <c r="F44" s="294"/>
      <c r="G44" s="294"/>
      <c r="H44" s="294"/>
      <c r="I44" s="294"/>
      <c r="J44" s="294"/>
      <c r="K44" s="300"/>
      <c r="L44" s="300"/>
      <c r="M44" s="300"/>
      <c r="N44" s="300"/>
      <c r="O44" s="487">
        <f t="shared" si="4"/>
        <v>0</v>
      </c>
      <c r="P44" s="624"/>
    </row>
    <row r="45" spans="1:16" ht="27" customHeight="1" thickBot="1">
      <c r="A45" s="5"/>
      <c r="B45" s="629" t="s">
        <v>153</v>
      </c>
      <c r="C45" s="631">
        <f>SUM(C46:C67)</f>
        <v>361500</v>
      </c>
      <c r="D45" s="632">
        <f t="shared" ref="D45:N45" si="12">SUM(D46:D67)</f>
        <v>361500</v>
      </c>
      <c r="E45" s="632">
        <f t="shared" si="12"/>
        <v>361500</v>
      </c>
      <c r="F45" s="632">
        <f>SUM(F46:F67)</f>
        <v>361500</v>
      </c>
      <c r="G45" s="632">
        <f t="shared" si="12"/>
        <v>361500</v>
      </c>
      <c r="H45" s="632">
        <f>SUM(H46:H67)</f>
        <v>361500</v>
      </c>
      <c r="I45" s="632">
        <f t="shared" si="12"/>
        <v>361500</v>
      </c>
      <c r="J45" s="632">
        <f t="shared" si="12"/>
        <v>661500</v>
      </c>
      <c r="K45" s="632">
        <f t="shared" si="12"/>
        <v>361500</v>
      </c>
      <c r="L45" s="632">
        <f t="shared" si="12"/>
        <v>361500</v>
      </c>
      <c r="M45" s="632">
        <f t="shared" si="12"/>
        <v>361500</v>
      </c>
      <c r="N45" s="632">
        <f t="shared" si="12"/>
        <v>361500</v>
      </c>
      <c r="O45" s="307">
        <f t="shared" si="4"/>
        <v>4638000</v>
      </c>
      <c r="P45" s="1038" t="s">
        <v>494</v>
      </c>
    </row>
    <row r="46" spans="1:16" ht="26.25" customHeight="1">
      <c r="A46" s="5"/>
      <c r="B46" s="621" t="s">
        <v>143</v>
      </c>
      <c r="C46" s="605"/>
      <c r="D46" s="304"/>
      <c r="E46" s="304"/>
      <c r="F46" s="304"/>
      <c r="G46" s="304"/>
      <c r="H46" s="304"/>
      <c r="I46" s="304"/>
      <c r="J46" s="304"/>
      <c r="K46" s="304"/>
      <c r="L46" s="304"/>
      <c r="M46" s="304"/>
      <c r="N46" s="304"/>
      <c r="O46" s="486">
        <f t="shared" si="4"/>
        <v>0</v>
      </c>
      <c r="P46" s="1039"/>
    </row>
    <row r="47" spans="1:16" ht="22.5" customHeight="1">
      <c r="A47" s="5"/>
      <c r="B47" s="622" t="s">
        <v>150</v>
      </c>
      <c r="C47" s="605"/>
      <c r="D47" s="304"/>
      <c r="E47" s="304"/>
      <c r="F47" s="304"/>
      <c r="G47" s="304"/>
      <c r="H47" s="304"/>
      <c r="I47" s="304"/>
      <c r="J47" s="304"/>
      <c r="K47" s="304"/>
      <c r="L47" s="304"/>
      <c r="M47" s="304"/>
      <c r="N47" s="304"/>
      <c r="O47" s="487">
        <f t="shared" si="4"/>
        <v>0</v>
      </c>
      <c r="P47" s="1039"/>
    </row>
    <row r="48" spans="1:16" ht="35.25" customHeight="1">
      <c r="A48" s="5"/>
      <c r="B48" s="622" t="s">
        <v>151</v>
      </c>
      <c r="C48" s="605"/>
      <c r="D48" s="304"/>
      <c r="E48" s="304"/>
      <c r="F48" s="304"/>
      <c r="G48" s="304"/>
      <c r="H48" s="304"/>
      <c r="I48" s="304"/>
      <c r="J48" s="304"/>
      <c r="K48" s="304"/>
      <c r="L48" s="304"/>
      <c r="M48" s="304"/>
      <c r="N48" s="304"/>
      <c r="O48" s="487">
        <f t="shared" si="4"/>
        <v>0</v>
      </c>
      <c r="P48" s="1039"/>
    </row>
    <row r="49" spans="1:16" ht="36" customHeight="1">
      <c r="A49" s="5"/>
      <c r="B49" s="622" t="s">
        <v>152</v>
      </c>
      <c r="C49" s="605"/>
      <c r="D49" s="304"/>
      <c r="E49" s="304"/>
      <c r="F49" s="304"/>
      <c r="G49" s="304"/>
      <c r="H49" s="304"/>
      <c r="I49" s="304"/>
      <c r="J49" s="304"/>
      <c r="K49" s="304"/>
      <c r="L49" s="304"/>
      <c r="M49" s="304"/>
      <c r="N49" s="304"/>
      <c r="O49" s="487">
        <f t="shared" si="4"/>
        <v>0</v>
      </c>
      <c r="P49" s="1039"/>
    </row>
    <row r="50" spans="1:16" ht="35.25" customHeight="1">
      <c r="A50" s="5"/>
      <c r="B50" s="622" t="s">
        <v>144</v>
      </c>
      <c r="C50" s="605"/>
      <c r="D50" s="304"/>
      <c r="E50" s="304"/>
      <c r="F50" s="304"/>
      <c r="G50" s="304"/>
      <c r="H50" s="304"/>
      <c r="I50" s="304"/>
      <c r="J50" s="304"/>
      <c r="K50" s="304"/>
      <c r="L50" s="304"/>
      <c r="M50" s="304"/>
      <c r="N50" s="304"/>
      <c r="O50" s="487">
        <f t="shared" si="4"/>
        <v>0</v>
      </c>
      <c r="P50" s="1039"/>
    </row>
    <row r="51" spans="1:16" ht="22.5" customHeight="1">
      <c r="A51" s="5"/>
      <c r="B51" s="622" t="s">
        <v>147</v>
      </c>
      <c r="C51" s="605">
        <v>2000</v>
      </c>
      <c r="D51" s="605">
        <v>2000</v>
      </c>
      <c r="E51" s="605">
        <v>2000</v>
      </c>
      <c r="F51" s="605">
        <v>2000</v>
      </c>
      <c r="G51" s="605">
        <v>2000</v>
      </c>
      <c r="H51" s="605">
        <v>2000</v>
      </c>
      <c r="I51" s="605">
        <v>2000</v>
      </c>
      <c r="J51" s="605">
        <v>2000</v>
      </c>
      <c r="K51" s="605">
        <v>2000</v>
      </c>
      <c r="L51" s="605">
        <v>2000</v>
      </c>
      <c r="M51" s="605">
        <v>2000</v>
      </c>
      <c r="N51" s="605">
        <v>2000</v>
      </c>
      <c r="O51" s="487">
        <f t="shared" si="4"/>
        <v>24000</v>
      </c>
      <c r="P51" s="1039"/>
    </row>
    <row r="52" spans="1:16" ht="22.5" customHeight="1">
      <c r="A52" s="5"/>
      <c r="B52" s="622" t="s">
        <v>145</v>
      </c>
      <c r="C52" s="605">
        <v>85000</v>
      </c>
      <c r="D52" s="605">
        <v>85000</v>
      </c>
      <c r="E52" s="605">
        <v>85000</v>
      </c>
      <c r="F52" s="605">
        <v>85000</v>
      </c>
      <c r="G52" s="605">
        <v>85000</v>
      </c>
      <c r="H52" s="605">
        <v>85000</v>
      </c>
      <c r="I52" s="605">
        <v>85000</v>
      </c>
      <c r="J52" s="605">
        <v>85000</v>
      </c>
      <c r="K52" s="605">
        <v>85000</v>
      </c>
      <c r="L52" s="605">
        <v>85000</v>
      </c>
      <c r="M52" s="605">
        <v>85000</v>
      </c>
      <c r="N52" s="605">
        <v>85000</v>
      </c>
      <c r="O52" s="487">
        <f t="shared" si="4"/>
        <v>1020000</v>
      </c>
      <c r="P52" s="1039"/>
    </row>
    <row r="53" spans="1:16" ht="37.5" customHeight="1">
      <c r="A53" s="5"/>
      <c r="B53" s="622" t="s">
        <v>406</v>
      </c>
      <c r="C53" s="605"/>
      <c r="D53" s="304"/>
      <c r="E53" s="304"/>
      <c r="F53" s="304"/>
      <c r="G53" s="304"/>
      <c r="H53" s="304"/>
      <c r="I53" s="304"/>
      <c r="J53" s="304"/>
      <c r="K53" s="304"/>
      <c r="L53" s="304"/>
      <c r="M53" s="304"/>
      <c r="N53" s="304"/>
      <c r="O53" s="487">
        <f t="shared" si="4"/>
        <v>0</v>
      </c>
      <c r="P53" s="1039"/>
    </row>
    <row r="54" spans="1:16" ht="50.25" customHeight="1">
      <c r="A54" s="5"/>
      <c r="B54" s="622" t="s">
        <v>148</v>
      </c>
      <c r="C54" s="605"/>
      <c r="D54" s="304"/>
      <c r="E54" s="304"/>
      <c r="F54" s="304"/>
      <c r="G54" s="304"/>
      <c r="H54" s="304"/>
      <c r="I54" s="304"/>
      <c r="J54" s="304"/>
      <c r="K54" s="304"/>
      <c r="L54" s="304"/>
      <c r="M54" s="304"/>
      <c r="N54" s="304"/>
      <c r="O54" s="487">
        <f t="shared" si="4"/>
        <v>0</v>
      </c>
      <c r="P54" s="1039"/>
    </row>
    <row r="55" spans="1:16" ht="37.5" customHeight="1">
      <c r="A55" s="5"/>
      <c r="B55" s="622" t="s">
        <v>407</v>
      </c>
      <c r="C55" s="605">
        <v>15000</v>
      </c>
      <c r="D55" s="605">
        <v>15000</v>
      </c>
      <c r="E55" s="605">
        <v>15000</v>
      </c>
      <c r="F55" s="605">
        <v>15000</v>
      </c>
      <c r="G55" s="605">
        <v>15000</v>
      </c>
      <c r="H55" s="605">
        <v>15000</v>
      </c>
      <c r="I55" s="605">
        <v>15000</v>
      </c>
      <c r="J55" s="605">
        <v>15000</v>
      </c>
      <c r="K55" s="605">
        <v>15000</v>
      </c>
      <c r="L55" s="605">
        <v>15000</v>
      </c>
      <c r="M55" s="605">
        <v>15000</v>
      </c>
      <c r="N55" s="605">
        <v>15000</v>
      </c>
      <c r="O55" s="487">
        <f t="shared" si="4"/>
        <v>180000</v>
      </c>
      <c r="P55" s="1039"/>
    </row>
    <row r="56" spans="1:16" ht="38.25" customHeight="1">
      <c r="A56" s="5"/>
      <c r="B56" s="622" t="s">
        <v>408</v>
      </c>
      <c r="C56" s="605"/>
      <c r="D56" s="304"/>
      <c r="E56" s="304"/>
      <c r="F56" s="304"/>
      <c r="G56" s="304"/>
      <c r="H56" s="304"/>
      <c r="I56" s="304"/>
      <c r="J56" s="304"/>
      <c r="K56" s="304"/>
      <c r="L56" s="304"/>
      <c r="M56" s="304"/>
      <c r="N56" s="304"/>
      <c r="O56" s="487">
        <f t="shared" si="4"/>
        <v>0</v>
      </c>
      <c r="P56" s="1039"/>
    </row>
    <row r="57" spans="1:16" ht="38.25" customHeight="1">
      <c r="A57" s="5"/>
      <c r="B57" s="622" t="s">
        <v>424</v>
      </c>
      <c r="C57" s="605">
        <v>10000</v>
      </c>
      <c r="D57" s="605">
        <v>10000</v>
      </c>
      <c r="E57" s="605">
        <v>10000</v>
      </c>
      <c r="F57" s="605">
        <v>10000</v>
      </c>
      <c r="G57" s="605">
        <v>10000</v>
      </c>
      <c r="H57" s="605">
        <v>10000</v>
      </c>
      <c r="I57" s="605">
        <v>10000</v>
      </c>
      <c r="J57" s="605">
        <v>10000</v>
      </c>
      <c r="K57" s="605">
        <v>10000</v>
      </c>
      <c r="L57" s="605">
        <v>10000</v>
      </c>
      <c r="M57" s="605">
        <v>10000</v>
      </c>
      <c r="N57" s="605">
        <v>10000</v>
      </c>
      <c r="O57" s="487">
        <f t="shared" si="4"/>
        <v>120000</v>
      </c>
      <c r="P57" s="1039"/>
    </row>
    <row r="58" spans="1:16" ht="39" customHeight="1">
      <c r="A58" s="5"/>
      <c r="B58" s="622" t="s">
        <v>690</v>
      </c>
      <c r="C58" s="605">
        <v>69000</v>
      </c>
      <c r="D58" s="605">
        <v>69000</v>
      </c>
      <c r="E58" s="605">
        <v>69000</v>
      </c>
      <c r="F58" s="605">
        <v>69000</v>
      </c>
      <c r="G58" s="605">
        <v>69000</v>
      </c>
      <c r="H58" s="605">
        <v>69000</v>
      </c>
      <c r="I58" s="605">
        <v>69000</v>
      </c>
      <c r="J58" s="605">
        <v>69000</v>
      </c>
      <c r="K58" s="605">
        <v>69000</v>
      </c>
      <c r="L58" s="605">
        <v>69000</v>
      </c>
      <c r="M58" s="605">
        <v>69000</v>
      </c>
      <c r="N58" s="605">
        <v>69000</v>
      </c>
      <c r="O58" s="487">
        <f t="shared" si="4"/>
        <v>828000</v>
      </c>
      <c r="P58" s="1039"/>
    </row>
    <row r="59" spans="1:16" ht="22.5" customHeight="1">
      <c r="A59" s="5"/>
      <c r="B59" s="622" t="s">
        <v>140</v>
      </c>
      <c r="C59" s="605">
        <v>180500</v>
      </c>
      <c r="D59" s="605">
        <v>180500</v>
      </c>
      <c r="E59" s="605">
        <v>180500</v>
      </c>
      <c r="F59" s="605">
        <v>180500</v>
      </c>
      <c r="G59" s="605">
        <v>180500</v>
      </c>
      <c r="H59" s="605">
        <v>180500</v>
      </c>
      <c r="I59" s="605">
        <v>180500</v>
      </c>
      <c r="J59" s="605">
        <v>180500</v>
      </c>
      <c r="K59" s="605">
        <v>180500</v>
      </c>
      <c r="L59" s="605">
        <v>180500</v>
      </c>
      <c r="M59" s="605">
        <v>180500</v>
      </c>
      <c r="N59" s="605">
        <v>180500</v>
      </c>
      <c r="O59" s="487">
        <f t="shared" si="4"/>
        <v>2166000</v>
      </c>
      <c r="P59" s="1039"/>
    </row>
    <row r="60" spans="1:16" ht="46.5" customHeight="1">
      <c r="A60" s="5"/>
      <c r="B60" s="622" t="s">
        <v>141</v>
      </c>
      <c r="C60" s="605"/>
      <c r="D60" s="304"/>
      <c r="E60" s="304"/>
      <c r="F60" s="304"/>
      <c r="G60" s="304"/>
      <c r="H60" s="304"/>
      <c r="I60" s="304"/>
      <c r="J60" s="304"/>
      <c r="K60" s="304"/>
      <c r="L60" s="304"/>
      <c r="M60" s="304"/>
      <c r="N60" s="304"/>
      <c r="O60" s="487">
        <f t="shared" si="4"/>
        <v>0</v>
      </c>
      <c r="P60" s="1039"/>
    </row>
    <row r="61" spans="1:16" ht="22.5" customHeight="1">
      <c r="A61" s="5"/>
      <c r="B61" s="622" t="s">
        <v>142</v>
      </c>
      <c r="C61" s="605"/>
      <c r="D61" s="304"/>
      <c r="E61" s="304"/>
      <c r="F61" s="304"/>
      <c r="G61" s="304"/>
      <c r="H61" s="304"/>
      <c r="I61" s="304"/>
      <c r="J61" s="304"/>
      <c r="K61" s="304"/>
      <c r="L61" s="304"/>
      <c r="M61" s="304"/>
      <c r="N61" s="304"/>
      <c r="O61" s="487">
        <f t="shared" si="4"/>
        <v>0</v>
      </c>
      <c r="P61" s="1039"/>
    </row>
    <row r="62" spans="1:16" ht="32.25" customHeight="1">
      <c r="A62" s="5"/>
      <c r="B62" s="623" t="s">
        <v>423</v>
      </c>
      <c r="C62" s="605"/>
      <c r="D62" s="304"/>
      <c r="E62" s="304"/>
      <c r="F62" s="304"/>
      <c r="G62" s="304"/>
      <c r="H62" s="304"/>
      <c r="I62" s="304"/>
      <c r="J62" s="304"/>
      <c r="K62" s="304"/>
      <c r="L62" s="304"/>
      <c r="M62" s="304"/>
      <c r="N62" s="304"/>
      <c r="O62" s="487">
        <f t="shared" si="4"/>
        <v>0</v>
      </c>
      <c r="P62" s="617"/>
    </row>
    <row r="63" spans="1:16" ht="22.5" customHeight="1">
      <c r="A63" s="5"/>
      <c r="B63" s="595" t="s">
        <v>716</v>
      </c>
      <c r="C63" s="605"/>
      <c r="D63" s="304"/>
      <c r="E63" s="304"/>
      <c r="F63" s="304"/>
      <c r="G63" s="304"/>
      <c r="H63" s="304"/>
      <c r="I63" s="304"/>
      <c r="J63" s="304">
        <v>300000</v>
      </c>
      <c r="K63" s="304"/>
      <c r="L63" s="304"/>
      <c r="M63" s="304"/>
      <c r="N63" s="304"/>
      <c r="O63" s="487">
        <f t="shared" si="4"/>
        <v>300000</v>
      </c>
      <c r="P63" s="617"/>
    </row>
    <row r="64" spans="1:16" ht="27" customHeight="1">
      <c r="A64" s="5"/>
      <c r="B64" s="595"/>
      <c r="C64" s="605"/>
      <c r="D64" s="304"/>
      <c r="E64" s="304"/>
      <c r="F64" s="304"/>
      <c r="G64" s="304"/>
      <c r="H64" s="304"/>
      <c r="I64" s="304"/>
      <c r="J64" s="304"/>
      <c r="K64" s="304"/>
      <c r="L64" s="304"/>
      <c r="M64" s="304"/>
      <c r="N64" s="304"/>
      <c r="O64" s="487">
        <f t="shared" si="4"/>
        <v>0</v>
      </c>
      <c r="P64" s="617"/>
    </row>
    <row r="65" spans="1:16" ht="23.25" customHeight="1">
      <c r="A65" s="5"/>
      <c r="B65" s="595"/>
      <c r="C65" s="605"/>
      <c r="D65" s="304"/>
      <c r="E65" s="304"/>
      <c r="F65" s="304"/>
      <c r="G65" s="304"/>
      <c r="H65" s="304"/>
      <c r="I65" s="304"/>
      <c r="J65" s="304"/>
      <c r="K65" s="304"/>
      <c r="L65" s="304"/>
      <c r="M65" s="304"/>
      <c r="N65" s="304"/>
      <c r="O65" s="487">
        <f t="shared" si="4"/>
        <v>0</v>
      </c>
      <c r="P65" s="617"/>
    </row>
    <row r="66" spans="1:16" ht="27" customHeight="1">
      <c r="A66" s="5"/>
      <c r="B66" s="595"/>
      <c r="C66" s="583"/>
      <c r="D66" s="294"/>
      <c r="E66" s="294"/>
      <c r="F66" s="294"/>
      <c r="G66" s="294"/>
      <c r="H66" s="294"/>
      <c r="I66" s="294"/>
      <c r="J66" s="294"/>
      <c r="K66" s="294"/>
      <c r="L66" s="294"/>
      <c r="M66" s="294"/>
      <c r="N66" s="294"/>
      <c r="O66" s="487">
        <f t="shared" si="4"/>
        <v>0</v>
      </c>
      <c r="P66" s="617"/>
    </row>
    <row r="67" spans="1:16" ht="39" customHeight="1" thickBot="1">
      <c r="A67" s="5"/>
      <c r="B67" s="596" t="s">
        <v>149</v>
      </c>
      <c r="C67" s="604"/>
      <c r="D67" s="298"/>
      <c r="E67" s="298"/>
      <c r="F67" s="298"/>
      <c r="G67" s="298"/>
      <c r="H67" s="298"/>
      <c r="I67" s="298"/>
      <c r="J67" s="298"/>
      <c r="K67" s="298"/>
      <c r="L67" s="298"/>
      <c r="M67" s="298"/>
      <c r="N67" s="298"/>
      <c r="O67" s="299">
        <f t="shared" si="4"/>
        <v>0</v>
      </c>
      <c r="P67" s="1117" t="s">
        <v>306</v>
      </c>
    </row>
    <row r="68" spans="1:16" ht="48.75" customHeight="1" thickBot="1">
      <c r="A68" s="5"/>
      <c r="B68" s="592" t="s">
        <v>154</v>
      </c>
      <c r="C68" s="603">
        <f>SUM(C15,C45)</f>
        <v>361500</v>
      </c>
      <c r="D68" s="306">
        <f t="shared" ref="D68:N68" si="13">SUM(D15,D45)</f>
        <v>361500</v>
      </c>
      <c r="E68" s="306">
        <f t="shared" si="13"/>
        <v>361500</v>
      </c>
      <c r="F68" s="306">
        <f>SUM(F15,F45)</f>
        <v>361500</v>
      </c>
      <c r="G68" s="306">
        <f>SUM(G15,G45)</f>
        <v>361500</v>
      </c>
      <c r="H68" s="306">
        <f t="shared" si="13"/>
        <v>361500</v>
      </c>
      <c r="I68" s="306">
        <f t="shared" si="13"/>
        <v>361500</v>
      </c>
      <c r="J68" s="306">
        <f t="shared" si="13"/>
        <v>661500</v>
      </c>
      <c r="K68" s="306">
        <f t="shared" si="13"/>
        <v>361500</v>
      </c>
      <c r="L68" s="306">
        <f t="shared" si="13"/>
        <v>361500</v>
      </c>
      <c r="M68" s="306">
        <f t="shared" si="13"/>
        <v>361500</v>
      </c>
      <c r="N68" s="306">
        <f t="shared" si="13"/>
        <v>361500</v>
      </c>
      <c r="O68" s="307">
        <f t="shared" si="4"/>
        <v>4638000</v>
      </c>
      <c r="P68" s="1117"/>
    </row>
    <row r="69" spans="1:16" ht="57.75" customHeight="1">
      <c r="A69" s="5"/>
      <c r="B69" s="597" t="s">
        <v>155</v>
      </c>
      <c r="C69" s="606">
        <f>C67+C44-C11</f>
        <v>0</v>
      </c>
      <c r="D69" s="311">
        <f t="shared" ref="D69:N69" si="14">D67+D44-D11</f>
        <v>0</v>
      </c>
      <c r="E69" s="311">
        <f t="shared" si="14"/>
        <v>0</v>
      </c>
      <c r="F69" s="311">
        <f t="shared" si="14"/>
        <v>0</v>
      </c>
      <c r="G69" s="311">
        <f t="shared" si="14"/>
        <v>0</v>
      </c>
      <c r="H69" s="311">
        <f t="shared" si="14"/>
        <v>0</v>
      </c>
      <c r="I69" s="311">
        <f t="shared" si="14"/>
        <v>0</v>
      </c>
      <c r="J69" s="311">
        <f t="shared" si="14"/>
        <v>0</v>
      </c>
      <c r="K69" s="311">
        <f t="shared" si="14"/>
        <v>0</v>
      </c>
      <c r="L69" s="311">
        <f t="shared" si="14"/>
        <v>0</v>
      </c>
      <c r="M69" s="311">
        <f t="shared" si="14"/>
        <v>0</v>
      </c>
      <c r="N69" s="311">
        <f t="shared" si="14"/>
        <v>0</v>
      </c>
      <c r="O69" s="305">
        <f t="shared" si="4"/>
        <v>0</v>
      </c>
      <c r="P69" s="1121" t="s">
        <v>310</v>
      </c>
    </row>
    <row r="70" spans="1:16" ht="40.5" customHeight="1" thickBot="1">
      <c r="A70" s="5"/>
      <c r="B70" s="598" t="s">
        <v>156</v>
      </c>
      <c r="C70" s="583">
        <f>SUM(C6:C10)-SUM(C17,C20,C23,C24,C27,C28,C29,C32,C35,C36,C37,C38,C39)-SUM(C46:C66)</f>
        <v>-61500</v>
      </c>
      <c r="D70" s="294">
        <f t="shared" ref="D70:N70" si="15">SUM(D6:D10)-SUM(D17,D20,D23,D24,D27,D28,D29,D32,D35,D36,D37,D38,D39)-SUM(D46:D66)</f>
        <v>1538350</v>
      </c>
      <c r="E70" s="294">
        <f t="shared" si="15"/>
        <v>38500</v>
      </c>
      <c r="F70" s="294">
        <f t="shared" si="15"/>
        <v>38500</v>
      </c>
      <c r="G70" s="294">
        <f t="shared" si="15"/>
        <v>38500</v>
      </c>
      <c r="H70" s="294">
        <f t="shared" si="15"/>
        <v>38500</v>
      </c>
      <c r="I70" s="294">
        <f t="shared" si="15"/>
        <v>38500</v>
      </c>
      <c r="J70" s="294">
        <f t="shared" si="15"/>
        <v>-261500</v>
      </c>
      <c r="K70" s="294">
        <f t="shared" si="15"/>
        <v>88500</v>
      </c>
      <c r="L70" s="294">
        <f t="shared" si="15"/>
        <v>88500</v>
      </c>
      <c r="M70" s="294">
        <f t="shared" si="15"/>
        <v>88500</v>
      </c>
      <c r="N70" s="294">
        <f t="shared" si="15"/>
        <v>88500</v>
      </c>
      <c r="O70" s="297">
        <f t="shared" si="4"/>
        <v>1761850</v>
      </c>
      <c r="P70" s="1122"/>
    </row>
    <row r="71" spans="1:16" ht="45" customHeight="1" thickBot="1">
      <c r="A71" s="5"/>
      <c r="B71" s="589" t="s">
        <v>157</v>
      </c>
      <c r="C71" s="604">
        <f>C5+C12-C68+C69</f>
        <v>8802</v>
      </c>
      <c r="D71" s="298">
        <f t="shared" ref="D71:N71" si="16">D5+D12-D68+D69</f>
        <v>1547152</v>
      </c>
      <c r="E71" s="298">
        <f t="shared" si="16"/>
        <v>1585652</v>
      </c>
      <c r="F71" s="298">
        <f t="shared" si="16"/>
        <v>1624152</v>
      </c>
      <c r="G71" s="298">
        <f t="shared" si="16"/>
        <v>1662652</v>
      </c>
      <c r="H71" s="298">
        <f t="shared" si="16"/>
        <v>1701152</v>
      </c>
      <c r="I71" s="298">
        <f t="shared" si="16"/>
        <v>1739652</v>
      </c>
      <c r="J71" s="298">
        <f t="shared" si="16"/>
        <v>1478152</v>
      </c>
      <c r="K71" s="298">
        <f t="shared" si="16"/>
        <v>1566652</v>
      </c>
      <c r="L71" s="298">
        <f t="shared" si="16"/>
        <v>1655152</v>
      </c>
      <c r="M71" s="298">
        <f t="shared" si="16"/>
        <v>1743652</v>
      </c>
      <c r="N71" s="298">
        <f t="shared" si="16"/>
        <v>1832152</v>
      </c>
      <c r="O71" s="310">
        <f>N71</f>
        <v>1832152</v>
      </c>
      <c r="P71" s="618" t="s">
        <v>309</v>
      </c>
    </row>
    <row r="72" spans="1:16" ht="15">
      <c r="B72" s="450"/>
      <c r="C72" s="451"/>
      <c r="D72" s="451"/>
      <c r="E72" s="451"/>
      <c r="F72" s="451"/>
      <c r="G72" s="452"/>
      <c r="H72" s="452"/>
      <c r="I72" s="452"/>
      <c r="J72" s="452"/>
      <c r="K72" s="452"/>
      <c r="L72" s="452"/>
      <c r="M72" s="452"/>
      <c r="N72" s="452"/>
      <c r="O72" s="453"/>
    </row>
    <row r="73" spans="1:16" ht="168" customHeight="1">
      <c r="B73" s="1126" t="s">
        <v>499</v>
      </c>
      <c r="C73" s="1126"/>
      <c r="D73" s="1126"/>
      <c r="E73" s="1126"/>
      <c r="F73" s="1126"/>
      <c r="G73" s="494"/>
      <c r="H73" s="494"/>
      <c r="I73" s="494"/>
      <c r="J73" s="494"/>
      <c r="K73" s="494"/>
      <c r="L73" s="494"/>
      <c r="M73" s="494"/>
      <c r="N73" s="494"/>
      <c r="O73" s="494"/>
    </row>
    <row r="74" spans="1:16" ht="39" customHeight="1">
      <c r="B74" s="454"/>
      <c r="C74" s="454"/>
      <c r="D74" s="454"/>
      <c r="E74" s="454"/>
      <c r="F74" s="454"/>
      <c r="G74" s="457"/>
      <c r="H74" s="458"/>
      <c r="I74" s="458"/>
      <c r="J74" s="458"/>
      <c r="K74" s="458"/>
      <c r="L74" s="459"/>
      <c r="M74" s="458"/>
      <c r="N74" s="458"/>
      <c r="O74" s="459"/>
    </row>
    <row r="75" spans="1:16" ht="20.25">
      <c r="B75" s="1124" t="s">
        <v>456</v>
      </c>
      <c r="C75" s="1124"/>
      <c r="D75" s="1124"/>
      <c r="E75" s="1124"/>
      <c r="F75" s="1124"/>
      <c r="G75" s="457"/>
      <c r="H75" s="457"/>
      <c r="I75" s="457"/>
      <c r="J75" s="457"/>
      <c r="K75" s="457"/>
      <c r="L75" s="457"/>
      <c r="M75" s="457"/>
      <c r="N75" s="457"/>
      <c r="O75" s="457"/>
    </row>
    <row r="76" spans="1:16" ht="25.5" customHeight="1">
      <c r="B76" s="1124" t="s">
        <v>457</v>
      </c>
      <c r="C76" s="1124"/>
      <c r="D76" s="1124"/>
      <c r="E76" s="1124"/>
      <c r="F76" s="1124"/>
      <c r="G76" s="457"/>
      <c r="H76" s="457"/>
      <c r="I76" s="457"/>
      <c r="J76" s="457"/>
      <c r="K76" s="457"/>
      <c r="L76" s="457"/>
      <c r="M76" s="457"/>
      <c r="N76" s="457"/>
      <c r="O76" s="457"/>
    </row>
    <row r="77" spans="1:16" ht="13.5" customHeight="1">
      <c r="B77" s="455"/>
      <c r="C77" s="454"/>
      <c r="D77" s="454"/>
      <c r="E77" s="454"/>
      <c r="F77" s="454"/>
      <c r="G77" s="455"/>
      <c r="H77" s="455"/>
      <c r="I77" s="455"/>
      <c r="J77" s="455"/>
      <c r="K77" s="455"/>
      <c r="L77" s="455"/>
      <c r="M77" s="455"/>
      <c r="N77" s="455"/>
      <c r="O77" s="456"/>
    </row>
    <row r="78" spans="1:16" ht="33" customHeight="1">
      <c r="B78" s="1125" t="s">
        <v>418</v>
      </c>
      <c r="C78" s="1125"/>
      <c r="D78" s="1125"/>
      <c r="E78" s="1125"/>
      <c r="F78" s="1125"/>
      <c r="G78" s="457"/>
      <c r="H78" s="457"/>
      <c r="I78" s="457"/>
      <c r="J78" s="457"/>
      <c r="K78" s="457"/>
      <c r="L78" s="457"/>
      <c r="M78" s="457"/>
      <c r="N78" s="457"/>
      <c r="O78" s="457"/>
    </row>
    <row r="79" spans="1:16" ht="33.75" customHeight="1">
      <c r="B79" s="457"/>
      <c r="C79" s="454"/>
      <c r="D79" s="454"/>
      <c r="E79" s="454"/>
      <c r="F79" s="454"/>
      <c r="G79" s="457"/>
      <c r="H79" s="458"/>
      <c r="I79" s="458"/>
      <c r="J79" s="458"/>
      <c r="K79" s="458"/>
      <c r="L79" s="459"/>
      <c r="M79" s="458"/>
      <c r="N79" s="458"/>
      <c r="O79" s="459"/>
    </row>
    <row r="80" spans="1:16" ht="20.25">
      <c r="B80" s="457"/>
      <c r="C80" s="454"/>
      <c r="D80" s="454"/>
      <c r="E80" s="454"/>
      <c r="F80" s="454"/>
      <c r="G80" s="457"/>
      <c r="H80" s="458"/>
      <c r="I80" s="458"/>
      <c r="J80" s="458"/>
      <c r="K80" s="458"/>
      <c r="L80" s="459"/>
      <c r="M80" s="458"/>
      <c r="N80" s="458"/>
      <c r="O80" s="459"/>
    </row>
    <row r="81" spans="2:15" ht="20.25">
      <c r="B81" s="1124" t="s">
        <v>456</v>
      </c>
      <c r="C81" s="1124"/>
      <c r="D81" s="1124"/>
      <c r="E81" s="1124"/>
      <c r="F81" s="1124"/>
      <c r="G81" s="457"/>
      <c r="H81" s="457"/>
      <c r="I81" s="457"/>
      <c r="J81" s="457"/>
      <c r="K81" s="457"/>
      <c r="L81" s="457"/>
      <c r="M81" s="457"/>
      <c r="N81" s="457"/>
      <c r="O81" s="45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view="pageBreakPreview" topLeftCell="A76" zoomScale="60" zoomScaleNormal="60" workbookViewId="0">
      <selection activeCell="B13" sqref="B13"/>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0" t="s">
        <v>498</v>
      </c>
      <c r="C1" s="1131"/>
      <c r="D1" s="1132"/>
      <c r="E1" s="179" t="s">
        <v>204</v>
      </c>
      <c r="F1" s="13"/>
      <c r="G1" s="13"/>
      <c r="H1" s="13"/>
    </row>
    <row r="2" spans="2:8" ht="23.25" customHeight="1" thickBot="1">
      <c r="B2" s="438" t="s">
        <v>158</v>
      </c>
      <c r="C2" s="320" t="s">
        <v>232</v>
      </c>
      <c r="D2" s="462" t="s">
        <v>496</v>
      </c>
      <c r="E2" s="127" t="s">
        <v>284</v>
      </c>
    </row>
    <row r="3" spans="2:8" ht="23.25" customHeight="1" thickBot="1">
      <c r="B3" s="439" t="s">
        <v>159</v>
      </c>
      <c r="C3" s="440">
        <v>2020</v>
      </c>
      <c r="D3" s="463">
        <v>2021</v>
      </c>
      <c r="E3" s="497"/>
    </row>
    <row r="4" spans="2:8" ht="23.25" customHeight="1" thickBot="1">
      <c r="B4" s="1133" t="s">
        <v>130</v>
      </c>
      <c r="C4" s="1134"/>
      <c r="D4" s="1135"/>
      <c r="E4" s="1038" t="s">
        <v>519</v>
      </c>
    </row>
    <row r="5" spans="2:8" ht="23.25" customHeight="1" thickBot="1">
      <c r="B5" s="441" t="s">
        <v>131</v>
      </c>
      <c r="C5" s="442">
        <f>'10.b-Cash-flow 2. év'!N71</f>
        <v>1832152</v>
      </c>
      <c r="D5" s="464">
        <f>C72</f>
        <v>2994152</v>
      </c>
      <c r="E5" s="1039"/>
    </row>
    <row r="6" spans="2:8" ht="23.25" customHeight="1">
      <c r="B6" s="491" t="s">
        <v>132</v>
      </c>
      <c r="C6" s="492">
        <v>5500000</v>
      </c>
      <c r="D6" s="493">
        <v>6500000</v>
      </c>
      <c r="E6" s="1039"/>
    </row>
    <row r="7" spans="2:8" ht="23.25" customHeight="1">
      <c r="B7" s="553" t="s">
        <v>133</v>
      </c>
      <c r="C7" s="554"/>
      <c r="D7" s="499"/>
      <c r="E7" s="1039"/>
    </row>
    <row r="8" spans="2:8" ht="23.25" customHeight="1">
      <c r="B8" s="553" t="s">
        <v>134</v>
      </c>
      <c r="C8" s="554"/>
      <c r="D8" s="499"/>
      <c r="E8" s="1039"/>
    </row>
    <row r="9" spans="2:8" ht="23.25" customHeight="1">
      <c r="B9" s="553" t="s">
        <v>135</v>
      </c>
      <c r="C9" s="554"/>
      <c r="D9" s="499"/>
      <c r="E9" s="1039"/>
    </row>
    <row r="10" spans="2:8" ht="23.25" customHeight="1">
      <c r="B10" s="553" t="s">
        <v>136</v>
      </c>
      <c r="C10" s="554"/>
      <c r="D10" s="499"/>
      <c r="E10" s="1039"/>
    </row>
    <row r="11" spans="2:8" ht="23.25" customHeight="1">
      <c r="B11" s="553" t="s">
        <v>137</v>
      </c>
      <c r="C11" s="554"/>
      <c r="D11" s="499"/>
      <c r="E11" s="1039"/>
    </row>
    <row r="12" spans="2:8" ht="23.25" customHeight="1" thickBot="1">
      <c r="B12" s="443" t="s">
        <v>138</v>
      </c>
      <c r="C12" s="444">
        <f t="shared" ref="C12:D12" si="0">SUM(C6:C11)</f>
        <v>5500000</v>
      </c>
      <c r="D12" s="465">
        <f t="shared" si="0"/>
        <v>6500000</v>
      </c>
      <c r="E12" s="1039"/>
    </row>
    <row r="13" spans="2:8" ht="8.25" customHeight="1" thickBot="1">
      <c r="B13" s="445"/>
      <c r="C13" s="446"/>
      <c r="D13" s="466"/>
      <c r="E13" s="301"/>
    </row>
    <row r="14" spans="2:8" ht="19.5" customHeight="1" thickBot="1">
      <c r="B14" s="1136" t="s">
        <v>139</v>
      </c>
      <c r="C14" s="1137"/>
      <c r="D14" s="1138"/>
      <c r="E14" s="301"/>
    </row>
    <row r="15" spans="2:8" ht="29.25" customHeight="1" thickBot="1">
      <c r="B15" s="555" t="s">
        <v>465</v>
      </c>
      <c r="C15" s="569">
        <f>SUM(C17,C20,C23,C24,C27,C28,C29,C32,,C35,C36,C37,C38,C39,C44)</f>
        <v>0</v>
      </c>
      <c r="D15" s="570">
        <f>SUM(D17,D20,D23,D24,D27,D28,D29,D32,,D35,D36,D37,D38,D39,D44)</f>
        <v>0</v>
      </c>
      <c r="E15" s="301" t="s">
        <v>520</v>
      </c>
    </row>
    <row r="16" spans="2:8" ht="39.75" customHeight="1" thickBot="1">
      <c r="B16" s="556" t="s">
        <v>492</v>
      </c>
      <c r="C16" s="571">
        <f>C15*0.9</f>
        <v>0</v>
      </c>
      <c r="D16" s="572">
        <f>D15*0.9</f>
        <v>0</v>
      </c>
      <c r="E16" s="301"/>
    </row>
    <row r="17" spans="2:5" ht="48.75" customHeight="1">
      <c r="B17" s="557" t="s">
        <v>466</v>
      </c>
      <c r="C17" s="573">
        <f>SUM(C18:C19)</f>
        <v>0</v>
      </c>
      <c r="D17" s="574">
        <f>SUM(D18:D19)</f>
        <v>0</v>
      </c>
      <c r="E17" s="301"/>
    </row>
    <row r="18" spans="2:5" ht="34.5" customHeight="1">
      <c r="B18" s="558" t="s">
        <v>467</v>
      </c>
      <c r="C18" s="575"/>
      <c r="D18" s="467"/>
      <c r="E18" s="301"/>
    </row>
    <row r="19" spans="2:5" ht="33" customHeight="1">
      <c r="B19" s="558" t="s">
        <v>146</v>
      </c>
      <c r="C19" s="575"/>
      <c r="D19" s="467"/>
      <c r="E19" s="301"/>
    </row>
    <row r="20" spans="2:5" ht="48.75" customHeight="1">
      <c r="B20" s="559" t="s">
        <v>468</v>
      </c>
      <c r="C20" s="575">
        <f>SUM(C21:C22)</f>
        <v>0</v>
      </c>
      <c r="D20" s="576">
        <f>SUM(D21:D22)</f>
        <v>0</v>
      </c>
      <c r="E20" s="301"/>
    </row>
    <row r="21" spans="2:5" ht="25.5" customHeight="1">
      <c r="B21" s="558" t="s">
        <v>469</v>
      </c>
      <c r="C21" s="575"/>
      <c r="D21" s="467"/>
      <c r="E21" s="301"/>
    </row>
    <row r="22" spans="2:5" ht="25.5" customHeight="1">
      <c r="B22" s="558" t="s">
        <v>470</v>
      </c>
      <c r="C22" s="575"/>
      <c r="D22" s="467"/>
      <c r="E22" s="301"/>
    </row>
    <row r="23" spans="2:5" ht="66" customHeight="1">
      <c r="B23" s="560" t="s">
        <v>471</v>
      </c>
      <c r="C23" s="575"/>
      <c r="D23" s="467"/>
      <c r="E23" s="301"/>
    </row>
    <row r="24" spans="2:5" ht="39.75" customHeight="1">
      <c r="B24" s="559" t="s">
        <v>472</v>
      </c>
      <c r="C24" s="575">
        <f>SUM(C25:C26)</f>
        <v>0</v>
      </c>
      <c r="D24" s="576">
        <f>SUM(D25:D26)</f>
        <v>0</v>
      </c>
      <c r="E24" s="301"/>
    </row>
    <row r="25" spans="2:5" ht="33" customHeight="1">
      <c r="B25" s="558" t="s">
        <v>473</v>
      </c>
      <c r="C25" s="575"/>
      <c r="D25" s="467"/>
      <c r="E25" s="301"/>
    </row>
    <row r="26" spans="2:5" ht="33.75" customHeight="1">
      <c r="B26" s="558" t="s">
        <v>474</v>
      </c>
      <c r="C26" s="575"/>
      <c r="D26" s="467"/>
      <c r="E26" s="301"/>
    </row>
    <row r="27" spans="2:5" ht="63.75" customHeight="1">
      <c r="B27" s="560" t="s">
        <v>475</v>
      </c>
      <c r="C27" s="575"/>
      <c r="D27" s="467"/>
      <c r="E27" s="301"/>
    </row>
    <row r="28" spans="2:5" ht="46.5" customHeight="1">
      <c r="B28" s="560" t="s">
        <v>476</v>
      </c>
      <c r="C28" s="575"/>
      <c r="D28" s="467"/>
      <c r="E28" s="301"/>
    </row>
    <row r="29" spans="2:5" ht="36.6" customHeight="1">
      <c r="B29" s="561" t="s">
        <v>477</v>
      </c>
      <c r="C29" s="575">
        <f>SUM(C30:C31)</f>
        <v>0</v>
      </c>
      <c r="D29" s="576">
        <f>SUM(D30:D31)</f>
        <v>0</v>
      </c>
      <c r="E29" s="301"/>
    </row>
    <row r="30" spans="2:5" ht="52.5" customHeight="1">
      <c r="B30" s="558" t="s">
        <v>478</v>
      </c>
      <c r="C30" s="575"/>
      <c r="D30" s="467"/>
      <c r="E30" s="301"/>
    </row>
    <row r="31" spans="2:5" ht="37.9" customHeight="1">
      <c r="B31" s="558" t="s">
        <v>479</v>
      </c>
      <c r="C31" s="575"/>
      <c r="D31" s="467"/>
      <c r="E31" s="301"/>
    </row>
    <row r="32" spans="2:5" ht="33.75" customHeight="1">
      <c r="B32" s="561" t="s">
        <v>480</v>
      </c>
      <c r="C32" s="575">
        <f>SUM(C33:C34)</f>
        <v>0</v>
      </c>
      <c r="D32" s="576">
        <f>SUM(D33:D34)</f>
        <v>0</v>
      </c>
      <c r="E32" s="301"/>
    </row>
    <row r="33" spans="2:5" ht="34.5" customHeight="1">
      <c r="B33" s="558" t="s">
        <v>481</v>
      </c>
      <c r="C33" s="575"/>
      <c r="D33" s="467"/>
      <c r="E33" s="301"/>
    </row>
    <row r="34" spans="2:5" ht="34.5" customHeight="1">
      <c r="B34" s="558" t="s">
        <v>482</v>
      </c>
      <c r="C34" s="577"/>
      <c r="D34" s="542"/>
      <c r="E34" s="301"/>
    </row>
    <row r="35" spans="2:5" ht="63.75" customHeight="1">
      <c r="B35" s="560" t="s">
        <v>483</v>
      </c>
      <c r="C35" s="577"/>
      <c r="D35" s="542"/>
      <c r="E35" s="301"/>
    </row>
    <row r="36" spans="2:5" ht="53.25" customHeight="1">
      <c r="B36" s="560" t="s">
        <v>484</v>
      </c>
      <c r="C36" s="577"/>
      <c r="D36" s="542"/>
      <c r="E36" s="301"/>
    </row>
    <row r="37" spans="2:5" ht="64.5" customHeight="1">
      <c r="B37" s="560" t="s">
        <v>485</v>
      </c>
      <c r="C37" s="577"/>
      <c r="D37" s="542"/>
      <c r="E37" s="301"/>
    </row>
    <row r="38" spans="2:5" ht="60.75" customHeight="1">
      <c r="B38" s="560" t="s">
        <v>486</v>
      </c>
      <c r="C38" s="577"/>
      <c r="D38" s="542"/>
      <c r="E38" s="301"/>
    </row>
    <row r="39" spans="2:5" ht="34.5" customHeight="1">
      <c r="B39" s="559" t="s">
        <v>487</v>
      </c>
      <c r="C39" s="577">
        <f>SUM(C40:C43)</f>
        <v>0</v>
      </c>
      <c r="D39" s="578">
        <f>SUM(D40:D43)</f>
        <v>0</v>
      </c>
      <c r="E39" s="301"/>
    </row>
    <row r="40" spans="2:5" ht="34.5" customHeight="1">
      <c r="B40" s="558" t="s">
        <v>488</v>
      </c>
      <c r="C40" s="577"/>
      <c r="D40" s="542"/>
      <c r="E40" s="301"/>
    </row>
    <row r="41" spans="2:5" ht="34.5" customHeight="1">
      <c r="B41" s="558" t="s">
        <v>489</v>
      </c>
      <c r="C41" s="577"/>
      <c r="D41" s="542"/>
      <c r="E41" s="301"/>
    </row>
    <row r="42" spans="2:5" ht="34.5" customHeight="1">
      <c r="B42" s="558" t="s">
        <v>490</v>
      </c>
      <c r="C42" s="577"/>
      <c r="D42" s="542"/>
      <c r="E42" s="301"/>
    </row>
    <row r="43" spans="2:5" ht="31.5" customHeight="1">
      <c r="B43" s="558" t="s">
        <v>491</v>
      </c>
      <c r="C43" s="575"/>
      <c r="D43" s="467"/>
      <c r="E43" s="301"/>
    </row>
    <row r="44" spans="2:5" ht="31.5" customHeight="1" thickBot="1">
      <c r="B44" s="562" t="s">
        <v>149</v>
      </c>
      <c r="C44" s="579"/>
      <c r="D44" s="468"/>
      <c r="E44" s="301"/>
    </row>
    <row r="45" spans="2:5" ht="27" customHeight="1" thickBot="1">
      <c r="B45" s="563" t="s">
        <v>153</v>
      </c>
      <c r="C45" s="580">
        <f>SUM(C46:C68)</f>
        <v>4338000</v>
      </c>
      <c r="D45" s="485">
        <f>SUM(D46:D68)</f>
        <v>4338000</v>
      </c>
      <c r="E45" s="301"/>
    </row>
    <row r="46" spans="2:5" ht="18.75" customHeight="1">
      <c r="B46" s="488" t="s">
        <v>143</v>
      </c>
      <c r="C46" s="581"/>
      <c r="D46" s="582"/>
      <c r="E46" s="301"/>
    </row>
    <row r="47" spans="2:5" ht="21.75" customHeight="1">
      <c r="B47" s="489" t="s">
        <v>150</v>
      </c>
      <c r="C47" s="581"/>
      <c r="D47" s="582"/>
      <c r="E47" s="301"/>
    </row>
    <row r="48" spans="2:5" ht="30">
      <c r="B48" s="489" t="s">
        <v>151</v>
      </c>
      <c r="C48" s="581"/>
      <c r="D48" s="582"/>
      <c r="E48" s="301"/>
    </row>
    <row r="49" spans="2:5" ht="33" customHeight="1">
      <c r="B49" s="489" t="s">
        <v>152</v>
      </c>
      <c r="C49" s="581"/>
      <c r="D49" s="582"/>
      <c r="E49" s="301"/>
    </row>
    <row r="50" spans="2:5" ht="19.5" customHeight="1">
      <c r="B50" s="489" t="s">
        <v>144</v>
      </c>
      <c r="C50" s="581"/>
      <c r="D50" s="582"/>
      <c r="E50" s="301"/>
    </row>
    <row r="51" spans="2:5" ht="19.5" customHeight="1">
      <c r="B51" s="489" t="s">
        <v>147</v>
      </c>
      <c r="C51" s="581">
        <v>24000</v>
      </c>
      <c r="D51" s="582">
        <v>24000</v>
      </c>
      <c r="E51" s="301"/>
    </row>
    <row r="52" spans="2:5" ht="20.25" customHeight="1">
      <c r="B52" s="489" t="s">
        <v>145</v>
      </c>
      <c r="C52" s="581">
        <v>1020000</v>
      </c>
      <c r="D52" s="581">
        <v>1020000</v>
      </c>
      <c r="E52" s="301"/>
    </row>
    <row r="53" spans="2:5" ht="19.5" customHeight="1">
      <c r="B53" s="489" t="s">
        <v>406</v>
      </c>
      <c r="C53" s="581"/>
      <c r="D53" s="582"/>
      <c r="E53" s="301"/>
    </row>
    <row r="54" spans="2:5" ht="34.5" customHeight="1">
      <c r="B54" s="489" t="s">
        <v>148</v>
      </c>
      <c r="C54" s="581"/>
      <c r="D54" s="582"/>
      <c r="E54" s="301"/>
    </row>
    <row r="55" spans="2:5" ht="26.45" customHeight="1">
      <c r="B55" s="489" t="s">
        <v>407</v>
      </c>
      <c r="C55" s="581">
        <v>180000</v>
      </c>
      <c r="D55" s="582">
        <v>180000</v>
      </c>
      <c r="E55" s="301"/>
    </row>
    <row r="56" spans="2:5" ht="24.75" customHeight="1">
      <c r="B56" s="489" t="s">
        <v>408</v>
      </c>
      <c r="C56" s="581"/>
      <c r="D56" s="582"/>
      <c r="E56" s="301"/>
    </row>
    <row r="57" spans="2:5" ht="18">
      <c r="B57" s="489" t="s">
        <v>424</v>
      </c>
      <c r="C57" s="581">
        <v>120000</v>
      </c>
      <c r="D57" s="582">
        <v>120000</v>
      </c>
      <c r="E57" s="301"/>
    </row>
    <row r="58" spans="2:5" ht="37.15" customHeight="1">
      <c r="B58" s="622" t="s">
        <v>691</v>
      </c>
      <c r="C58" s="581">
        <v>828000</v>
      </c>
      <c r="D58" s="582">
        <v>828000</v>
      </c>
      <c r="E58" s="301"/>
    </row>
    <row r="59" spans="2:5" ht="20.45" customHeight="1">
      <c r="B59" s="489" t="s">
        <v>140</v>
      </c>
      <c r="C59" s="581">
        <v>2166000</v>
      </c>
      <c r="D59" s="582">
        <v>2166000</v>
      </c>
      <c r="E59" s="301"/>
    </row>
    <row r="60" spans="2:5" ht="34.15" customHeight="1">
      <c r="B60" s="489" t="s">
        <v>141</v>
      </c>
      <c r="C60" s="581"/>
      <c r="D60" s="582"/>
      <c r="E60" s="301"/>
    </row>
    <row r="61" spans="2:5" ht="18">
      <c r="B61" s="489" t="s">
        <v>142</v>
      </c>
      <c r="C61" s="581"/>
      <c r="D61" s="582"/>
      <c r="E61" s="301"/>
    </row>
    <row r="62" spans="2:5" ht="18">
      <c r="B62" s="490" t="s">
        <v>425</v>
      </c>
      <c r="C62" s="581"/>
      <c r="D62" s="582"/>
      <c r="E62" s="301"/>
    </row>
    <row r="63" spans="2:5" ht="16.5" customHeight="1">
      <c r="B63" s="500"/>
      <c r="C63" s="583"/>
      <c r="D63" s="297"/>
      <c r="E63" s="301"/>
    </row>
    <row r="64" spans="2:5" ht="16.5" customHeight="1">
      <c r="B64" s="500"/>
      <c r="C64" s="583"/>
      <c r="D64" s="297"/>
      <c r="E64" s="301"/>
    </row>
    <row r="65" spans="1:14" ht="16.5" customHeight="1">
      <c r="B65" s="500"/>
      <c r="C65" s="583"/>
      <c r="D65" s="297"/>
      <c r="E65" s="301"/>
    </row>
    <row r="66" spans="1:14" ht="16.5" customHeight="1">
      <c r="B66" s="489"/>
      <c r="C66" s="583"/>
      <c r="D66" s="297"/>
      <c r="E66" s="301"/>
    </row>
    <row r="67" spans="1:14" ht="15">
      <c r="B67" s="489"/>
      <c r="C67" s="583"/>
      <c r="D67" s="297"/>
      <c r="E67" s="301"/>
    </row>
    <row r="68" spans="1:14" ht="21.75" customHeight="1" thickBot="1">
      <c r="B68" s="564" t="s">
        <v>149</v>
      </c>
      <c r="C68" s="444"/>
      <c r="D68" s="584"/>
      <c r="E68" s="301"/>
    </row>
    <row r="69" spans="1:14" ht="24.75" customHeight="1" thickBot="1">
      <c r="B69" s="565" t="s">
        <v>154</v>
      </c>
      <c r="C69" s="585">
        <f>SUM(C15,C45)</f>
        <v>4338000</v>
      </c>
      <c r="D69" s="466">
        <f>SUM(D15,D45)</f>
        <v>4338000</v>
      </c>
      <c r="E69" s="301"/>
    </row>
    <row r="70" spans="1:14" ht="40.5" customHeight="1" thickBot="1">
      <c r="B70" s="566" t="s">
        <v>155</v>
      </c>
      <c r="C70" s="585">
        <f>C68+C43-C11</f>
        <v>0</v>
      </c>
      <c r="D70" s="466">
        <f>D68+D43-D11</f>
        <v>0</v>
      </c>
      <c r="E70" s="301"/>
    </row>
    <row r="71" spans="1:14" ht="21.75" customHeight="1" thickBot="1">
      <c r="B71" s="565" t="s">
        <v>156</v>
      </c>
      <c r="C71" s="585">
        <f>SUM(C6:C10)-SUM(C17,C20,C23,C24,C27,C28,C29,C32,,C35,C36,C37,C38,C39)-SUM(C46:C67)</f>
        <v>1162000</v>
      </c>
      <c r="D71" s="586">
        <f>SUM(D6:D10)-SUM(D17,D20,D23,D24,D27,D28,D29,D32,,D35,D36,D37,D38,D39)-SUM(D46:D67)</f>
        <v>2162000</v>
      </c>
      <c r="E71" s="301"/>
    </row>
    <row r="72" spans="1:14" ht="23.25" customHeight="1" thickBot="1">
      <c r="B72" s="567" t="s">
        <v>157</v>
      </c>
      <c r="C72" s="444">
        <f>C5+C12-C69+C70</f>
        <v>2994152</v>
      </c>
      <c r="D72" s="584">
        <f>D5+D12-D69+D70</f>
        <v>5156152</v>
      </c>
      <c r="E72" s="301"/>
    </row>
    <row r="73" spans="1:14" ht="18.75" thickBot="1">
      <c r="B73" s="501"/>
      <c r="C73" s="501"/>
      <c r="D73" s="502"/>
      <c r="E73" s="301"/>
    </row>
    <row r="74" spans="1:14" ht="35.25" customHeight="1" thickBot="1">
      <c r="B74" s="447" t="s">
        <v>384</v>
      </c>
      <c r="C74" s="587"/>
      <c r="D74" s="461"/>
      <c r="E74" s="1038" t="s">
        <v>386</v>
      </c>
    </row>
    <row r="75" spans="1:14" ht="33" customHeight="1" thickBot="1">
      <c r="A75" s="231">
        <v>800</v>
      </c>
      <c r="B75" s="568" t="str">
        <f>CONCATENATE("Beírt karakterek száma: ",LEN(C76))</f>
        <v>Beírt karakterek száma: 686</v>
      </c>
      <c r="C75" s="1139" t="str">
        <f>IF(A76&gt;A75,CONCATENATE("Karaktertúllépés! Kérjük, válaszát a 3 cellában összesen maximum ",A75," karakterben foglalja össze!"),CONCATENATE("Még beírható karakterek száma:   ",A75-A76))</f>
        <v>Még beírható karakterek száma:   114</v>
      </c>
      <c r="D75" s="1140"/>
      <c r="E75" s="1039"/>
    </row>
    <row r="76" spans="1:14" ht="296.25" customHeight="1" thickBot="1">
      <c r="A76" s="495">
        <f>LEN(C76)</f>
        <v>686</v>
      </c>
      <c r="B76" s="528" t="s">
        <v>311</v>
      </c>
      <c r="C76" s="1141" t="s">
        <v>749</v>
      </c>
      <c r="D76" s="1142"/>
      <c r="E76" s="1039"/>
    </row>
    <row r="77" spans="1:14" ht="32.25" customHeight="1" thickBot="1">
      <c r="A77" s="231">
        <v>800</v>
      </c>
      <c r="B77" s="568" t="str">
        <f>CONCATENATE("Beírt karakterek száma: ",LEN(C78))</f>
        <v>Beírt karakterek száma: 718</v>
      </c>
      <c r="C77" s="1139" t="str">
        <f>IF(A78&gt;A77,CONCATENATE("Karaktertúllépés! Kérjük, válaszát a 3 cellában összesen maximum ",A77," karakterben foglalja össze!"),CONCATENATE("Még beírható karakterek száma:   ",A77-A78))</f>
        <v>Még beírható karakterek száma:   82</v>
      </c>
      <c r="D77" s="1140"/>
      <c r="E77" s="1039"/>
    </row>
    <row r="78" spans="1:14" ht="330" customHeight="1" thickBot="1">
      <c r="A78" s="496">
        <f>LEN(C78)</f>
        <v>718</v>
      </c>
      <c r="B78" s="448" t="s">
        <v>360</v>
      </c>
      <c r="C78" s="1127" t="s">
        <v>750</v>
      </c>
      <c r="D78" s="1128"/>
      <c r="E78" s="498" t="s">
        <v>385</v>
      </c>
    </row>
    <row r="79" spans="1:14" ht="18">
      <c r="B79" s="449"/>
      <c r="C79" s="449"/>
      <c r="D79" s="449"/>
    </row>
    <row r="80" spans="1:14" ht="111.75" customHeight="1">
      <c r="B80" s="1129" t="s">
        <v>500</v>
      </c>
      <c r="C80" s="1129"/>
      <c r="D80" s="1129"/>
      <c r="E80" s="494"/>
      <c r="F80" s="494"/>
      <c r="G80" s="494"/>
      <c r="H80" s="494"/>
      <c r="I80" s="494"/>
      <c r="J80" s="494"/>
      <c r="K80" s="494"/>
      <c r="L80" s="494"/>
      <c r="M80" s="494"/>
      <c r="N80" s="494"/>
    </row>
    <row r="81" spans="2:14" ht="48.75" customHeight="1">
      <c r="B81" s="454"/>
      <c r="C81" s="454"/>
      <c r="D81" s="454"/>
      <c r="E81" s="454"/>
      <c r="F81" s="457"/>
      <c r="G81" s="458"/>
      <c r="H81" s="458"/>
      <c r="I81" s="458"/>
      <c r="J81" s="458"/>
      <c r="K81" s="459"/>
      <c r="L81" s="458"/>
      <c r="M81" s="458"/>
      <c r="N81" s="459"/>
    </row>
    <row r="82" spans="2:14" ht="20.25">
      <c r="B82" s="457" t="s">
        <v>456</v>
      </c>
      <c r="C82" s="457"/>
      <c r="D82" s="454"/>
      <c r="E82" s="527"/>
      <c r="F82" s="527"/>
      <c r="G82" s="527"/>
      <c r="H82" s="527"/>
      <c r="I82" s="527"/>
      <c r="J82" s="527"/>
      <c r="K82" s="527"/>
    </row>
    <row r="83" spans="2:14" ht="20.25">
      <c r="B83" s="527" t="s">
        <v>457</v>
      </c>
      <c r="C83" s="457"/>
      <c r="D83" s="454"/>
      <c r="E83" s="527"/>
      <c r="F83" s="527"/>
      <c r="G83" s="527"/>
      <c r="H83" s="527"/>
      <c r="I83" s="527"/>
      <c r="J83" s="527"/>
      <c r="K83" s="527"/>
    </row>
    <row r="84" spans="2:14" ht="28.5" customHeight="1">
      <c r="B84" s="455"/>
      <c r="C84" s="455"/>
      <c r="D84" s="454"/>
      <c r="E84" s="455"/>
      <c r="F84" s="455"/>
      <c r="G84" s="455"/>
      <c r="H84" s="455"/>
      <c r="I84" s="455"/>
      <c r="J84" s="455"/>
      <c r="K84" s="456"/>
    </row>
    <row r="85" spans="2:14" ht="40.5">
      <c r="B85" s="494" t="s">
        <v>418</v>
      </c>
      <c r="C85" s="457"/>
      <c r="D85" s="454"/>
      <c r="E85" s="527"/>
      <c r="F85" s="527"/>
      <c r="G85" s="527"/>
      <c r="H85" s="527"/>
      <c r="I85" s="527"/>
      <c r="J85" s="527"/>
      <c r="K85" s="527"/>
    </row>
    <row r="86" spans="2:14" ht="42" customHeight="1">
      <c r="B86" s="457"/>
      <c r="C86" s="458"/>
      <c r="D86" s="454"/>
      <c r="E86" s="458"/>
      <c r="F86" s="458"/>
      <c r="G86" s="458"/>
      <c r="H86" s="459"/>
      <c r="I86" s="458"/>
      <c r="J86" s="458"/>
      <c r="K86" s="459"/>
    </row>
    <row r="87" spans="2:14" ht="24.75" customHeight="1">
      <c r="B87" s="457"/>
      <c r="C87" s="458"/>
      <c r="D87" s="454"/>
      <c r="E87" s="458"/>
      <c r="F87" s="458"/>
      <c r="G87" s="458"/>
      <c r="H87" s="459"/>
      <c r="I87" s="458"/>
      <c r="J87" s="458"/>
      <c r="K87" s="459"/>
    </row>
    <row r="88" spans="2:14" ht="20.25">
      <c r="B88" s="457" t="s">
        <v>456</v>
      </c>
      <c r="C88" s="457"/>
      <c r="D88" s="454"/>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view="pageBreakPreview" topLeftCell="A16" zoomScale="70" zoomScaleNormal="70" zoomScaleSheetLayoutView="70" workbookViewId="0">
      <selection activeCell="F25" sqref="F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3" t="s">
        <v>246</v>
      </c>
      <c r="C1" s="1144"/>
      <c r="D1" s="1144"/>
      <c r="E1" s="1144"/>
      <c r="F1" s="1144"/>
      <c r="G1" s="1145"/>
      <c r="H1" s="179" t="s">
        <v>204</v>
      </c>
    </row>
    <row r="2" spans="1:9" s="12" customFormat="1" ht="33" customHeight="1" thickBot="1">
      <c r="A2" s="5"/>
      <c r="B2" s="65"/>
      <c r="C2" s="66" t="s">
        <v>160</v>
      </c>
      <c r="D2" s="58" t="s">
        <v>38</v>
      </c>
      <c r="E2" s="58" t="s">
        <v>230</v>
      </c>
      <c r="F2" s="58" t="s">
        <v>427</v>
      </c>
      <c r="G2" s="58" t="s">
        <v>618</v>
      </c>
      <c r="H2" s="127" t="s">
        <v>312</v>
      </c>
    </row>
    <row r="3" spans="1:9" ht="31.5" customHeight="1" thickBot="1">
      <c r="A3" s="5"/>
      <c r="B3" s="228" t="s">
        <v>161</v>
      </c>
      <c r="C3" s="63" t="s">
        <v>162</v>
      </c>
      <c r="D3" s="166">
        <v>2100</v>
      </c>
      <c r="E3" s="530">
        <v>4900</v>
      </c>
      <c r="F3" s="534">
        <v>5500</v>
      </c>
      <c r="G3" s="534">
        <v>6500</v>
      </c>
      <c r="H3" s="1146" t="s">
        <v>521</v>
      </c>
    </row>
    <row r="4" spans="1:9" ht="31.5" customHeight="1" thickBot="1">
      <c r="A4" s="5"/>
      <c r="B4" s="228" t="s">
        <v>163</v>
      </c>
      <c r="C4" s="49" t="s">
        <v>164</v>
      </c>
      <c r="D4" s="166"/>
      <c r="E4" s="530"/>
      <c r="F4" s="535"/>
      <c r="G4" s="535"/>
      <c r="H4" s="1147"/>
    </row>
    <row r="5" spans="1:9" ht="31.5" customHeight="1" thickBot="1">
      <c r="A5" s="5"/>
      <c r="B5" s="228" t="s">
        <v>165</v>
      </c>
      <c r="C5" s="49" t="s">
        <v>166</v>
      </c>
      <c r="D5" s="166">
        <v>2233</v>
      </c>
      <c r="E5" s="530">
        <v>1499</v>
      </c>
      <c r="F5" s="535"/>
      <c r="G5" s="535"/>
      <c r="H5" s="1147"/>
    </row>
    <row r="6" spans="1:9" ht="31.5" customHeight="1" thickBot="1">
      <c r="A6" s="5"/>
      <c r="B6" s="229" t="s">
        <v>167</v>
      </c>
      <c r="C6" s="64" t="s">
        <v>168</v>
      </c>
      <c r="D6" s="166">
        <v>16</v>
      </c>
      <c r="E6" s="530">
        <v>24</v>
      </c>
      <c r="F6" s="535">
        <v>24</v>
      </c>
      <c r="G6" s="535">
        <v>24</v>
      </c>
      <c r="H6" s="1147"/>
    </row>
    <row r="7" spans="1:9" ht="31.5" customHeight="1" thickBot="1">
      <c r="A7" s="5"/>
      <c r="B7" s="229" t="s">
        <v>169</v>
      </c>
      <c r="C7" s="721" t="s">
        <v>692</v>
      </c>
      <c r="D7" s="166">
        <v>1578</v>
      </c>
      <c r="E7" s="530">
        <v>1320</v>
      </c>
      <c r="F7" s="535">
        <v>1320</v>
      </c>
      <c r="G7" s="535">
        <v>1320</v>
      </c>
      <c r="H7" s="1147"/>
    </row>
    <row r="8" spans="1:9" ht="31.5" customHeight="1" thickBot="1">
      <c r="A8" s="5"/>
      <c r="B8" s="229" t="s">
        <v>170</v>
      </c>
      <c r="C8" s="64" t="s">
        <v>171</v>
      </c>
      <c r="D8" s="166"/>
      <c r="E8" s="530"/>
      <c r="F8" s="535"/>
      <c r="G8" s="535"/>
      <c r="H8" s="1147"/>
    </row>
    <row r="9" spans="1:9" ht="31.5" customHeight="1" thickBot="1">
      <c r="A9" s="5"/>
      <c r="B9" s="229" t="s">
        <v>172</v>
      </c>
      <c r="C9" s="64"/>
      <c r="D9" s="166"/>
      <c r="E9" s="530"/>
      <c r="F9" s="535"/>
      <c r="G9" s="535"/>
      <c r="H9" s="1147"/>
    </row>
    <row r="10" spans="1:9" ht="31.5" customHeight="1" thickBot="1">
      <c r="A10" s="5"/>
      <c r="B10" s="229" t="s">
        <v>173</v>
      </c>
      <c r="C10" s="64"/>
      <c r="D10" s="166"/>
      <c r="E10" s="530"/>
      <c r="F10" s="535"/>
      <c r="G10" s="535"/>
      <c r="H10" s="1147"/>
      <c r="I10" s="12"/>
    </row>
    <row r="11" spans="1:9" ht="31.5" customHeight="1" thickBot="1">
      <c r="A11" s="5"/>
      <c r="B11" s="229" t="s">
        <v>174</v>
      </c>
      <c r="C11" s="64" t="s">
        <v>175</v>
      </c>
      <c r="D11" s="166"/>
      <c r="E11" s="530"/>
      <c r="F11" s="535"/>
      <c r="G11" s="535"/>
      <c r="H11" s="1147"/>
    </row>
    <row r="12" spans="1:9" ht="31.5" customHeight="1" thickBot="1">
      <c r="A12" s="5"/>
      <c r="B12" s="229" t="s">
        <v>234</v>
      </c>
      <c r="C12" s="64" t="s">
        <v>176</v>
      </c>
      <c r="D12" s="166"/>
      <c r="E12" s="530"/>
      <c r="F12" s="535"/>
      <c r="G12" s="535"/>
      <c r="H12" s="1147"/>
    </row>
    <row r="13" spans="1:9" ht="31.5" customHeight="1" thickBot="1">
      <c r="A13" s="5"/>
      <c r="B13" s="229" t="s">
        <v>177</v>
      </c>
      <c r="C13" s="64" t="s">
        <v>178</v>
      </c>
      <c r="D13" s="166"/>
      <c r="E13" s="536"/>
      <c r="F13" s="537"/>
      <c r="G13" s="537"/>
      <c r="H13" s="1147"/>
    </row>
    <row r="14" spans="1:9" ht="31.5" customHeight="1" thickBot="1">
      <c r="A14" s="5"/>
      <c r="B14" s="228" t="s">
        <v>179</v>
      </c>
      <c r="C14" s="49" t="s">
        <v>180</v>
      </c>
      <c r="D14" s="531">
        <f t="shared" ref="D14:G14" si="0">SUM(D6:D13)</f>
        <v>1594</v>
      </c>
      <c r="E14" s="538">
        <f t="shared" si="0"/>
        <v>1344</v>
      </c>
      <c r="F14" s="538">
        <f t="shared" si="0"/>
        <v>1344</v>
      </c>
      <c r="G14" s="538">
        <f t="shared" si="0"/>
        <v>1344</v>
      </c>
      <c r="H14" s="1147"/>
    </row>
    <row r="15" spans="1:9" ht="31.5" customHeight="1" thickBot="1">
      <c r="A15" s="5"/>
      <c r="B15" s="229" t="s">
        <v>181</v>
      </c>
      <c r="C15" s="64" t="s">
        <v>182</v>
      </c>
      <c r="D15" s="530">
        <v>1444</v>
      </c>
      <c r="E15" s="539">
        <v>2166</v>
      </c>
      <c r="F15" s="539">
        <v>2166</v>
      </c>
      <c r="G15" s="539">
        <v>2166</v>
      </c>
      <c r="H15" s="1147"/>
    </row>
    <row r="16" spans="1:9" ht="31.5" customHeight="1" thickBot="1">
      <c r="A16" s="5"/>
      <c r="B16" s="229" t="s">
        <v>183</v>
      </c>
      <c r="C16" s="64" t="s">
        <v>184</v>
      </c>
      <c r="D16" s="530"/>
      <c r="E16" s="539"/>
      <c r="F16" s="539"/>
      <c r="G16" s="539"/>
      <c r="H16" s="1147"/>
    </row>
    <row r="17" spans="1:8" ht="31.5" customHeight="1" thickBot="1">
      <c r="A17" s="5"/>
      <c r="B17" s="229" t="s">
        <v>185</v>
      </c>
      <c r="C17" s="64" t="s">
        <v>186</v>
      </c>
      <c r="D17" s="530"/>
      <c r="E17" s="539"/>
      <c r="F17" s="539"/>
      <c r="G17" s="539"/>
      <c r="H17" s="1147"/>
    </row>
    <row r="18" spans="1:8" ht="31.5" customHeight="1" thickBot="1">
      <c r="A18" s="5"/>
      <c r="B18" s="228" t="s">
        <v>187</v>
      </c>
      <c r="C18" s="49" t="s">
        <v>188</v>
      </c>
      <c r="D18" s="531">
        <f t="shared" ref="D18:G18" si="1">SUM(D15:D17)</f>
        <v>1444</v>
      </c>
      <c r="E18" s="538">
        <f t="shared" si="1"/>
        <v>2166</v>
      </c>
      <c r="F18" s="538">
        <f t="shared" si="1"/>
        <v>2166</v>
      </c>
      <c r="G18" s="538">
        <f t="shared" si="1"/>
        <v>2166</v>
      </c>
      <c r="H18" s="1147"/>
    </row>
    <row r="19" spans="1:8" ht="31.5" customHeight="1" thickBot="1">
      <c r="A19" s="5"/>
      <c r="B19" s="228" t="s">
        <v>189</v>
      </c>
      <c r="C19" s="49" t="s">
        <v>190</v>
      </c>
      <c r="D19" s="530"/>
      <c r="E19" s="539"/>
      <c r="F19" s="539"/>
      <c r="G19" s="539"/>
      <c r="H19" s="1147"/>
    </row>
    <row r="20" spans="1:8" ht="31.5" customHeight="1" thickBot="1">
      <c r="A20" s="5"/>
      <c r="B20" s="228" t="s">
        <v>191</v>
      </c>
      <c r="C20" s="49" t="s">
        <v>693</v>
      </c>
      <c r="D20" s="530">
        <v>42</v>
      </c>
      <c r="E20" s="539">
        <v>98</v>
      </c>
      <c r="F20" s="539">
        <v>110</v>
      </c>
      <c r="G20" s="539">
        <v>130</v>
      </c>
      <c r="H20" s="1147"/>
    </row>
    <row r="21" spans="1:8" ht="50.25" customHeight="1" thickBot="1">
      <c r="A21" s="5"/>
      <c r="B21" s="228" t="s">
        <v>192</v>
      </c>
      <c r="C21" s="49" t="s">
        <v>193</v>
      </c>
      <c r="D21" s="531">
        <f>+D3+D4+D5-D14-D18-D19-D20</f>
        <v>1253</v>
      </c>
      <c r="E21" s="538">
        <f t="shared" ref="E21:G21" si="2">+E3+E4+E5-E14-E18-E19-E20</f>
        <v>2791</v>
      </c>
      <c r="F21" s="538">
        <f t="shared" si="2"/>
        <v>1880</v>
      </c>
      <c r="G21" s="538">
        <f t="shared" si="2"/>
        <v>2860</v>
      </c>
      <c r="H21" s="1147"/>
    </row>
    <row r="22" spans="1:8" ht="29.25" customHeight="1" thickBot="1">
      <c r="A22" s="5"/>
      <c r="B22" s="228" t="s">
        <v>194</v>
      </c>
      <c r="C22" s="49" t="s">
        <v>195</v>
      </c>
      <c r="D22" s="530"/>
      <c r="E22" s="539"/>
      <c r="F22" s="539"/>
      <c r="G22" s="539"/>
      <c r="H22" s="1147"/>
    </row>
    <row r="23" spans="1:8" ht="31.5" customHeight="1" thickBot="1">
      <c r="A23" s="5"/>
      <c r="B23" s="228" t="s">
        <v>196</v>
      </c>
      <c r="C23" s="49" t="s">
        <v>197</v>
      </c>
      <c r="D23" s="530"/>
      <c r="E23" s="539"/>
      <c r="F23" s="539"/>
      <c r="G23" s="539"/>
      <c r="H23" s="1147"/>
    </row>
    <row r="24" spans="1:8" ht="31.5" customHeight="1" thickBot="1">
      <c r="A24" s="5"/>
      <c r="B24" s="228" t="s">
        <v>198</v>
      </c>
      <c r="C24" s="49" t="s">
        <v>199</v>
      </c>
      <c r="D24" s="532">
        <f>+D22-D23</f>
        <v>0</v>
      </c>
      <c r="E24" s="540">
        <f t="shared" ref="E24:G24" si="3">+E22-E23</f>
        <v>0</v>
      </c>
      <c r="F24" s="540">
        <f t="shared" si="3"/>
        <v>0</v>
      </c>
      <c r="G24" s="540">
        <f t="shared" si="3"/>
        <v>0</v>
      </c>
      <c r="H24" s="1148" t="s">
        <v>410</v>
      </c>
    </row>
    <row r="25" spans="1:8" ht="39.75" customHeight="1" thickBot="1">
      <c r="A25" s="5"/>
      <c r="B25" s="228" t="s">
        <v>200</v>
      </c>
      <c r="C25" s="49" t="s">
        <v>256</v>
      </c>
      <c r="D25" s="532">
        <f>+D21+D24</f>
        <v>1253</v>
      </c>
      <c r="E25" s="540">
        <f t="shared" ref="E25:G25" si="4">+E21+E24</f>
        <v>2791</v>
      </c>
      <c r="F25" s="540">
        <f t="shared" si="4"/>
        <v>1880</v>
      </c>
      <c r="G25" s="540">
        <f t="shared" si="4"/>
        <v>2860</v>
      </c>
      <c r="H25" s="1149"/>
    </row>
    <row r="26" spans="1:8" ht="31.5" customHeight="1" thickBot="1">
      <c r="A26" s="5"/>
      <c r="B26" s="228" t="s">
        <v>257</v>
      </c>
      <c r="C26" s="49" t="s">
        <v>694</v>
      </c>
      <c r="D26" s="530">
        <v>400</v>
      </c>
      <c r="E26" s="539">
        <v>600</v>
      </c>
      <c r="F26" s="539">
        <v>600</v>
      </c>
      <c r="G26" s="539">
        <v>600</v>
      </c>
      <c r="H26" s="1149"/>
    </row>
    <row r="27" spans="1:8" ht="31.5" customHeight="1" thickBot="1">
      <c r="A27" s="5"/>
      <c r="B27" s="460" t="s">
        <v>391</v>
      </c>
      <c r="C27" s="230" t="s">
        <v>392</v>
      </c>
      <c r="D27" s="533">
        <f>+D25-D26</f>
        <v>853</v>
      </c>
      <c r="E27" s="540">
        <f>+E25-E26</f>
        <v>2191</v>
      </c>
      <c r="F27" s="540">
        <f>+F25-F26</f>
        <v>1280</v>
      </c>
      <c r="G27" s="540">
        <f>+G25-G26</f>
        <v>2260</v>
      </c>
      <c r="H27" s="115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7" zoomScale="80" zoomScaleNormal="70" zoomScaleSheetLayoutView="80" workbookViewId="0">
      <selection activeCell="B13" sqref="B13:C1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2" t="s">
        <v>247</v>
      </c>
      <c r="C1" s="814"/>
      <c r="D1" s="130" t="s">
        <v>204</v>
      </c>
      <c r="E1" s="7"/>
      <c r="F1" s="7"/>
    </row>
    <row r="2" spans="1:6" ht="15" customHeight="1" thickBot="1">
      <c r="B2" s="129"/>
      <c r="C2" s="55"/>
      <c r="D2" s="127" t="s">
        <v>312</v>
      </c>
    </row>
    <row r="3" spans="1:6" ht="37.5" customHeight="1" thickBot="1">
      <c r="B3" s="1158" t="s">
        <v>361</v>
      </c>
      <c r="C3" s="1159"/>
      <c r="D3" s="192"/>
    </row>
    <row r="4" spans="1:6" ht="38.25" customHeight="1" thickBot="1">
      <c r="A4" s="180">
        <v>1500</v>
      </c>
      <c r="B4" s="51" t="str">
        <f>CONCATENATE("Beírt karakterek száma: ",LEN(C6)+LEN(C7)+LEN(C8))</f>
        <v>Beírt karakterek száma: 680</v>
      </c>
      <c r="C4" s="150" t="str">
        <f>IF(A5&gt;A4,CONCATENATE("Karaktertúllépés! Kérjük, válaszát a 3 cellában összesen maximum ",A4," karakterben foglalja össze!"),CONCATENATE("Még beírható karakterek száma:   ",A4-A5))</f>
        <v>Még beírható karakterek száma:   820</v>
      </c>
      <c r="D4" s="6"/>
      <c r="E4" s="36">
        <f>LEN(C6)+LEN(C7)+LEN(C8)</f>
        <v>680</v>
      </c>
    </row>
    <row r="5" spans="1:6" ht="32.25" customHeight="1" thickBot="1">
      <c r="A5" s="191">
        <f>LEN(C6)+LEN(C7)+LEN(C8)</f>
        <v>680</v>
      </c>
      <c r="B5" s="193" t="s">
        <v>3</v>
      </c>
      <c r="C5" s="194" t="s">
        <v>4</v>
      </c>
      <c r="D5" s="6"/>
    </row>
    <row r="6" spans="1:6" ht="171" customHeight="1" thickBot="1">
      <c r="B6" s="725" t="s">
        <v>751</v>
      </c>
      <c r="C6" s="529" t="s">
        <v>754</v>
      </c>
      <c r="D6" s="741" t="s">
        <v>405</v>
      </c>
    </row>
    <row r="7" spans="1:6" ht="165.75" customHeight="1" thickBot="1">
      <c r="B7" s="724" t="s">
        <v>756</v>
      </c>
      <c r="C7" s="529" t="s">
        <v>755</v>
      </c>
      <c r="D7" s="742"/>
    </row>
    <row r="8" spans="1:6" ht="147" customHeight="1" thickBot="1">
      <c r="B8" s="724" t="s">
        <v>757</v>
      </c>
      <c r="C8" s="529" t="s">
        <v>758</v>
      </c>
      <c r="D8" s="743"/>
    </row>
    <row r="9" spans="1:6" ht="15.75">
      <c r="B9" s="10"/>
      <c r="D9" s="6"/>
    </row>
    <row r="10" spans="1:6" ht="23.25" customHeight="1" thickBot="1">
      <c r="B10" s="8" t="s">
        <v>201</v>
      </c>
      <c r="D10" s="6"/>
    </row>
    <row r="11" spans="1:6" ht="64.5" customHeight="1">
      <c r="B11" s="10" t="s">
        <v>419</v>
      </c>
      <c r="D11" s="1154" t="s">
        <v>393</v>
      </c>
      <c r="E11" s="1155"/>
    </row>
    <row r="12" spans="1:6" ht="132" customHeight="1">
      <c r="B12" s="10" t="s">
        <v>524</v>
      </c>
      <c r="D12" s="1156" t="s">
        <v>313</v>
      </c>
      <c r="E12" s="1157"/>
    </row>
    <row r="13" spans="1:6" ht="64.5" customHeight="1">
      <c r="B13" s="1153" t="s">
        <v>420</v>
      </c>
      <c r="C13" s="1153"/>
      <c r="D13" s="1156" t="s">
        <v>394</v>
      </c>
      <c r="E13" s="1157"/>
    </row>
    <row r="14" spans="1:6" ht="68.25" customHeight="1" thickBot="1">
      <c r="B14" s="10" t="s">
        <v>202</v>
      </c>
      <c r="D14" s="1151" t="s">
        <v>395</v>
      </c>
      <c r="E14" s="115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C16" zoomScale="80" zoomScaleNormal="70" zoomScaleSheetLayoutView="80" workbookViewId="0">
      <selection activeCell="B13" sqref="B13"/>
    </sheetView>
  </sheetViews>
  <sheetFormatPr defaultColWidth="9.140625" defaultRowHeight="15.75"/>
  <cols>
    <col min="1" max="1" width="5.7109375" style="4" customWidth="1"/>
    <col min="2" max="2" width="4.42578125" style="505" customWidth="1"/>
    <col min="3" max="3" width="40.7109375" style="504" customWidth="1"/>
    <col min="4" max="4" width="26.5703125" style="504" customWidth="1"/>
    <col min="5" max="5" width="12.7109375" style="504" customWidth="1"/>
    <col min="6" max="6" width="26.85546875" style="504" customWidth="1"/>
    <col min="7" max="7" width="12.7109375" style="504" customWidth="1"/>
    <col min="8" max="8" width="52" style="4" customWidth="1"/>
    <col min="9" max="9" width="78" style="4" customWidth="1"/>
    <col min="10" max="16384" width="9.140625" style="4"/>
  </cols>
  <sheetData>
    <row r="1" spans="2:9" ht="16.5" thickBot="1">
      <c r="C1" s="503"/>
      <c r="D1" s="503"/>
      <c r="E1" s="503"/>
      <c r="F1" s="503"/>
      <c r="G1" s="503"/>
      <c r="H1" s="6"/>
    </row>
    <row r="2" spans="2:9" ht="42" customHeight="1">
      <c r="B2" s="513"/>
      <c r="C2" s="1169" t="s">
        <v>433</v>
      </c>
      <c r="D2" s="1169"/>
      <c r="E2" s="1169"/>
      <c r="F2" s="1169"/>
      <c r="G2" s="1170"/>
      <c r="H2" s="6"/>
    </row>
    <row r="3" spans="2:9" ht="51.75" customHeight="1" thickBot="1">
      <c r="B3" s="514"/>
      <c r="C3" s="522"/>
      <c r="D3" s="523" t="s">
        <v>434</v>
      </c>
      <c r="E3" s="523" t="s">
        <v>444</v>
      </c>
      <c r="F3" s="523" t="s">
        <v>443</v>
      </c>
      <c r="G3" s="524" t="s">
        <v>444</v>
      </c>
      <c r="H3" s="6"/>
    </row>
    <row r="4" spans="2:9" ht="65.25" customHeight="1">
      <c r="B4" s="514" t="s">
        <v>84</v>
      </c>
      <c r="C4" s="506" t="s">
        <v>419</v>
      </c>
      <c r="D4" s="508" t="s">
        <v>454</v>
      </c>
      <c r="E4" s="510"/>
      <c r="F4" s="508" t="s">
        <v>453</v>
      </c>
      <c r="G4" s="521"/>
      <c r="H4" s="1171" t="s">
        <v>393</v>
      </c>
      <c r="I4" s="1155"/>
    </row>
    <row r="5" spans="2:9" ht="105.75" customHeight="1">
      <c r="B5" s="514" t="s">
        <v>85</v>
      </c>
      <c r="C5" s="506" t="s">
        <v>411</v>
      </c>
      <c r="D5" s="508" t="s">
        <v>435</v>
      </c>
      <c r="E5" s="510"/>
      <c r="F5" s="508" t="s">
        <v>436</v>
      </c>
      <c r="G5" s="521"/>
      <c r="H5" s="1172" t="s">
        <v>313</v>
      </c>
      <c r="I5" s="1157"/>
    </row>
    <row r="6" spans="2:9" ht="74.25" customHeight="1">
      <c r="B6" s="514" t="s">
        <v>86</v>
      </c>
      <c r="C6" s="506" t="s">
        <v>420</v>
      </c>
      <c r="D6" s="508" t="s">
        <v>438</v>
      </c>
      <c r="E6" s="510"/>
      <c r="F6" s="508" t="s">
        <v>437</v>
      </c>
      <c r="G6" s="521"/>
      <c r="H6" s="1172" t="s">
        <v>394</v>
      </c>
      <c r="I6" s="1157"/>
    </row>
    <row r="7" spans="2:9" ht="87.75" customHeight="1" thickBot="1">
      <c r="B7" s="514" t="s">
        <v>441</v>
      </c>
      <c r="C7" s="506" t="s">
        <v>202</v>
      </c>
      <c r="D7" s="508" t="s">
        <v>439</v>
      </c>
      <c r="E7" s="510"/>
      <c r="F7" s="508" t="s">
        <v>440</v>
      </c>
      <c r="G7" s="521"/>
      <c r="H7" s="1168" t="s">
        <v>395</v>
      </c>
      <c r="I7" s="1152"/>
    </row>
    <row r="8" spans="2:9" ht="18" customHeight="1" thickBot="1">
      <c r="B8" s="514"/>
      <c r="C8" s="507"/>
      <c r="D8" s="508"/>
      <c r="E8" s="508"/>
      <c r="F8" s="508"/>
      <c r="G8" s="509"/>
    </row>
    <row r="9" spans="2:9" ht="67.5" customHeight="1">
      <c r="B9" s="514" t="s">
        <v>442</v>
      </c>
      <c r="C9" s="1160" t="s">
        <v>449</v>
      </c>
      <c r="D9" s="1160"/>
      <c r="E9" s="511"/>
      <c r="F9" s="512" t="s">
        <v>451</v>
      </c>
      <c r="G9" s="515" t="s">
        <v>451</v>
      </c>
      <c r="H9" s="1162" t="s">
        <v>533</v>
      </c>
      <c r="I9" s="1163"/>
    </row>
    <row r="10" spans="2:9" ht="111.75" customHeight="1">
      <c r="B10" s="514" t="s">
        <v>445</v>
      </c>
      <c r="C10" s="1160" t="s">
        <v>450</v>
      </c>
      <c r="D10" s="1160"/>
      <c r="E10" s="1160"/>
      <c r="F10" s="1160"/>
      <c r="G10" s="516"/>
      <c r="H10" s="1164"/>
      <c r="I10" s="1165"/>
    </row>
    <row r="11" spans="2:9" ht="152.25" customHeight="1">
      <c r="B11" s="514" t="s">
        <v>446</v>
      </c>
      <c r="C11" s="1160" t="s">
        <v>447</v>
      </c>
      <c r="D11" s="1160"/>
      <c r="E11" s="1160"/>
      <c r="F11" s="1160"/>
      <c r="G11" s="516"/>
      <c r="H11" s="1164"/>
      <c r="I11" s="1165"/>
    </row>
    <row r="12" spans="2:9" ht="128.25" customHeight="1">
      <c r="B12" s="514" t="s">
        <v>234</v>
      </c>
      <c r="C12" s="1160" t="s">
        <v>534</v>
      </c>
      <c r="D12" s="1160"/>
      <c r="E12" s="1160"/>
      <c r="F12" s="1160"/>
      <c r="G12" s="516"/>
      <c r="H12" s="1164" t="s">
        <v>455</v>
      </c>
      <c r="I12" s="1165"/>
    </row>
    <row r="13" spans="2:9" ht="66.75" customHeight="1" thickBot="1">
      <c r="B13" s="517" t="s">
        <v>452</v>
      </c>
      <c r="C13" s="1161" t="s">
        <v>448</v>
      </c>
      <c r="D13" s="1161"/>
      <c r="E13" s="518"/>
      <c r="F13" s="519" t="s">
        <v>451</v>
      </c>
      <c r="G13" s="520" t="s">
        <v>451</v>
      </c>
      <c r="H13" s="1166"/>
      <c r="I13" s="116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80" zoomScaleNormal="80" workbookViewId="0">
      <pane xSplit="4" ySplit="7" topLeftCell="E26" activePane="bottomRight" state="frozen"/>
      <selection pane="topRight" activeCell="E1" sqref="E1"/>
      <selection pane="bottomLeft" activeCell="A6" sqref="A6"/>
      <selection pane="bottomRight" activeCell="F21" sqref="F21"/>
    </sheetView>
  </sheetViews>
  <sheetFormatPr defaultRowHeight="15"/>
  <cols>
    <col min="1" max="1" width="22.140625" style="643" customWidth="1"/>
    <col min="2" max="2" width="31.5703125" style="643" customWidth="1"/>
    <col min="3" max="3" width="28" style="643" customWidth="1"/>
    <col min="4" max="4" width="65.85546875" style="643" customWidth="1"/>
    <col min="5" max="5" width="23.5703125" style="643" bestFit="1" customWidth="1"/>
    <col min="6" max="7" width="23.140625" style="643" customWidth="1"/>
    <col min="8" max="8" width="1.42578125" style="635" customWidth="1"/>
    <col min="9" max="9" width="27.5703125" style="643" customWidth="1"/>
    <col min="10" max="10" width="2" style="643" customWidth="1"/>
    <col min="11" max="11" width="27.5703125" style="643" customWidth="1"/>
    <col min="12" max="12" width="2" style="635" customWidth="1"/>
    <col min="13" max="13" width="21.7109375" style="673" customWidth="1"/>
    <col min="14" max="14" width="21.5703125" style="673" customWidth="1"/>
    <col min="15" max="15" width="17.85546875" style="673" customWidth="1"/>
    <col min="16" max="16" width="16.28515625" style="673" bestFit="1" customWidth="1"/>
    <col min="17" max="17" width="15.28515625" style="673" customWidth="1"/>
    <col min="18" max="18" width="17.85546875" style="673" bestFit="1" customWidth="1"/>
    <col min="19" max="23" width="9.140625" style="635"/>
    <col min="24" max="16384" width="9.140625" style="643"/>
  </cols>
  <sheetData>
    <row r="1" spans="1:20" s="635" customFormat="1" ht="23.25" customHeight="1">
      <c r="D1" s="636"/>
      <c r="I1" s="1173" t="s">
        <v>535</v>
      </c>
      <c r="J1" s="1173"/>
      <c r="K1" s="1173"/>
      <c r="M1" s="637"/>
      <c r="N1" s="638"/>
      <c r="O1" s="638"/>
      <c r="P1" s="638"/>
      <c r="Q1" s="638"/>
      <c r="R1" s="638"/>
    </row>
    <row r="2" spans="1:20" s="635" customFormat="1" ht="57" customHeight="1">
      <c r="A2" s="1174" t="s">
        <v>603</v>
      </c>
      <c r="B2" s="1175"/>
      <c r="C2" s="639"/>
      <c r="D2" s="640"/>
      <c r="E2" s="641"/>
      <c r="F2" s="641"/>
      <c r="G2" s="642">
        <f>+'10.a-Cash-flow 1. év'!O15+'10.b-Cash-flow 2. év'!O15</f>
        <v>3333333</v>
      </c>
      <c r="I2" s="117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7"/>
      <c r="K2" s="1178"/>
      <c r="M2" s="637" t="s">
        <v>536</v>
      </c>
      <c r="N2" s="637" t="s">
        <v>537</v>
      </c>
      <c r="O2" s="638"/>
      <c r="P2" s="638"/>
      <c r="Q2" s="638"/>
      <c r="R2" s="638"/>
    </row>
    <row r="3" spans="1:20" s="635" customFormat="1" ht="57" customHeight="1">
      <c r="A3" s="1175"/>
      <c r="B3" s="1175"/>
      <c r="C3" s="643"/>
      <c r="D3" s="644">
        <f ca="1">NOW()</f>
        <v>43193.741066898147</v>
      </c>
      <c r="E3" s="1179">
        <f>+'10.a-Cash-flow 1. év'!O8+'10.a-Cash-flow 1. év'!O9</f>
        <v>1499850</v>
      </c>
      <c r="F3" s="1179">
        <f>+'10.b-Cash-flow 2. év'!O8+'10.b-Cash-flow 2. év'!O9</f>
        <v>1499850</v>
      </c>
      <c r="G3" s="1180">
        <f>+'10.a-Cash-flow 1. év'!O16+'10.b-Cash-flow 2. év'!O16</f>
        <v>2999999.7</v>
      </c>
      <c r="I3" s="117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7"/>
      <c r="K3" s="1178"/>
      <c r="M3" s="637" t="s">
        <v>604</v>
      </c>
      <c r="N3" s="637" t="s">
        <v>538</v>
      </c>
      <c r="O3" s="638"/>
      <c r="P3" s="638"/>
      <c r="Q3" s="638"/>
      <c r="R3" s="638"/>
    </row>
    <row r="4" spans="1:20" s="635" customFormat="1" ht="54.75" customHeight="1">
      <c r="A4" s="1175"/>
      <c r="B4" s="1175"/>
      <c r="D4" s="645" t="str">
        <f>HYPERLINK("https://youtu.be/OMgLQ-bE7v0","Kisvideó - kérjük nézze meg!")</f>
        <v>Kisvideó - kérjük nézze meg!</v>
      </c>
      <c r="E4" s="1179"/>
      <c r="F4" s="1179"/>
      <c r="G4" s="1180"/>
      <c r="I4" s="1181" t="str">
        <f>IF(G3&lt;3000000,"A támogatási összeg nem haladja meg a 3.000.000 Ft-ot.","HIBA! - tervezze át, mert az igényelt támogatás összege több mint 3.000.000 Ft!")</f>
        <v>A támogatási összeg nem haladja meg a 3.000.000 Ft-ot.</v>
      </c>
      <c r="J4" s="1181"/>
      <c r="K4" s="1181"/>
      <c r="M4" s="637" t="s">
        <v>539</v>
      </c>
      <c r="N4" s="637" t="s">
        <v>540</v>
      </c>
      <c r="T4" s="638"/>
    </row>
    <row r="5" spans="1:20" s="635" customFormat="1" ht="18.75">
      <c r="E5" s="641"/>
      <c r="F5" s="641"/>
      <c r="G5" s="646">
        <f>+'10.a-Cash-flow 1. év'!O45+'10.b-Cash-flow 2. év'!O45</f>
        <v>5567215</v>
      </c>
      <c r="M5" s="637" t="s">
        <v>605</v>
      </c>
      <c r="N5" s="637"/>
      <c r="O5" s="638"/>
      <c r="P5" s="638"/>
      <c r="Q5" s="647"/>
      <c r="R5" s="638"/>
    </row>
    <row r="6" spans="1:20" s="635" customFormat="1" ht="18.75">
      <c r="E6" s="648"/>
      <c r="F6" s="648"/>
      <c r="G6" s="646">
        <f>+'10.a-Cash-flow 1. év'!O68+'10.b-Cash-flow 2. év'!O68</f>
        <v>8900548</v>
      </c>
      <c r="I6" s="1182"/>
      <c r="J6" s="1182"/>
      <c r="K6" s="1182"/>
      <c r="M6" s="637" t="s">
        <v>541</v>
      </c>
      <c r="N6" s="637"/>
      <c r="O6" s="638"/>
      <c r="P6" s="638"/>
      <c r="Q6" s="647"/>
      <c r="R6" s="638"/>
    </row>
    <row r="7" spans="1:20" s="635" customFormat="1">
      <c r="M7" s="637" t="s">
        <v>606</v>
      </c>
      <c r="N7" s="637"/>
    </row>
    <row r="8" spans="1:20" s="635" customFormat="1" ht="66">
      <c r="A8" s="1183" t="s">
        <v>542</v>
      </c>
      <c r="B8" s="1183"/>
      <c r="C8" s="649" t="s">
        <v>543</v>
      </c>
      <c r="D8" s="649" t="s">
        <v>544</v>
      </c>
      <c r="E8" s="649" t="s">
        <v>545</v>
      </c>
      <c r="F8" s="649" t="s">
        <v>546</v>
      </c>
      <c r="G8" s="649" t="s">
        <v>547</v>
      </c>
      <c r="I8" s="650" t="s">
        <v>548</v>
      </c>
      <c r="J8" s="651"/>
      <c r="K8" s="650" t="s">
        <v>549</v>
      </c>
      <c r="M8" s="652">
        <v>6.5000000000000002E-2</v>
      </c>
      <c r="N8" s="652"/>
      <c r="O8" s="653" t="s">
        <v>550</v>
      </c>
      <c r="P8" s="654">
        <v>0.15</v>
      </c>
      <c r="Q8" s="654"/>
      <c r="R8" s="655" t="s">
        <v>550</v>
      </c>
    </row>
    <row r="9" spans="1:20" s="635" customFormat="1" ht="57.75" customHeight="1">
      <c r="A9" s="1184" t="s">
        <v>551</v>
      </c>
      <c r="B9" s="1186" t="s">
        <v>552</v>
      </c>
      <c r="C9" s="1184" t="s">
        <v>553</v>
      </c>
      <c r="D9" s="1184" t="s">
        <v>554</v>
      </c>
      <c r="E9" s="1188">
        <f>+'10.a-Cash-flow 1. év'!O17</f>
        <v>0</v>
      </c>
      <c r="F9" s="1188">
        <f>+'10.b-Cash-flow 2. év'!O17</f>
        <v>0</v>
      </c>
      <c r="G9" s="1188">
        <f>+'10.a-Cash-flow 1. év'!O17+'10.b-Cash-flow 2. év'!O17</f>
        <v>0</v>
      </c>
      <c r="H9" s="656"/>
      <c r="I9" s="657" t="str">
        <f>IF(N9=0,IF(M9&gt;O9,"HIBA! - tervezze át, meghaladja az előírt korlátot.","A tervezési korlát rendben van."),0)</f>
        <v>A tervezési korlát rendben van.</v>
      </c>
      <c r="J9" s="658"/>
      <c r="K9" s="659">
        <f>IF(N9&gt;0,IF(N9&gt;O9,"HIBA! - tervezze át, meghaladja az előírt korlátot.","A tervezési korlát rendben van."),0)</f>
        <v>0</v>
      </c>
      <c r="M9" s="660">
        <f>G9+G11+G26</f>
        <v>7620</v>
      </c>
      <c r="N9" s="660">
        <f>IF($G$30=0,0,M9*1.27)</f>
        <v>0</v>
      </c>
      <c r="O9" s="660">
        <f>G32/100*6.5</f>
        <v>216666.64500000002</v>
      </c>
    </row>
    <row r="10" spans="1:20" s="635" customFormat="1" ht="57.75" customHeight="1">
      <c r="A10" s="1185"/>
      <c r="B10" s="1187"/>
      <c r="C10" s="1185"/>
      <c r="D10" s="1185"/>
      <c r="E10" s="1189"/>
      <c r="F10" s="1189"/>
      <c r="G10" s="1189"/>
      <c r="H10" s="656"/>
      <c r="I10" s="657" t="str">
        <f>IF(Q10=0,IF(P10&gt;R10,"HIBA! - tervezze át, meghaladja az előírt korlátot.","A tervezési korlát rendben van."),0)</f>
        <v>A tervezési korlát rendben van.</v>
      </c>
      <c r="J10" s="658"/>
      <c r="K10" s="659">
        <f>IF(Q10&gt;0,IF(Q10&gt;R10,"HIBA! - tervezze át, meghaladja az előírt korlátot.","A tervezési korlát rendben van."),0)</f>
        <v>0</v>
      </c>
      <c r="L10" s="656"/>
      <c r="M10" s="661"/>
      <c r="N10" s="662"/>
      <c r="O10" s="662"/>
      <c r="P10" s="660">
        <f>G11+G26</f>
        <v>7620</v>
      </c>
      <c r="Q10" s="663">
        <f>IF($G$30=0,0,P10*1.27)</f>
        <v>0</v>
      </c>
      <c r="R10" s="660">
        <f>G32*0.15</f>
        <v>499999.94999999995</v>
      </c>
    </row>
    <row r="11" spans="1:20" s="635" customFormat="1" ht="150">
      <c r="A11" s="664" t="s">
        <v>555</v>
      </c>
      <c r="B11" s="665" t="s">
        <v>556</v>
      </c>
      <c r="C11" s="666" t="s">
        <v>557</v>
      </c>
      <c r="D11" s="663"/>
      <c r="E11" s="667">
        <f>+'10.a-Cash-flow 1. év'!O23</f>
        <v>7620</v>
      </c>
      <c r="F11" s="667">
        <f>+'10.b-Cash-flow 2. év'!O23</f>
        <v>0</v>
      </c>
      <c r="G11" s="667">
        <f>+'10.a-Cash-flow 1. év'!O23+'10.b-Cash-flow 2. év'!O23</f>
        <v>7620</v>
      </c>
      <c r="H11" s="656"/>
      <c r="I11" s="668">
        <f>IF(G11=0,"Nem tervezett kötelezően előírt nyivánosság biztosításához költséget, kérjük tervezzen!",0)</f>
        <v>0</v>
      </c>
      <c r="J11" s="669"/>
      <c r="K11" s="669" t="s">
        <v>558</v>
      </c>
      <c r="L11" s="700"/>
      <c r="M11" s="637" t="s">
        <v>559</v>
      </c>
      <c r="N11" s="637" t="s">
        <v>560</v>
      </c>
      <c r="O11" s="700"/>
      <c r="P11" s="701"/>
      <c r="R11" s="638"/>
    </row>
    <row r="12" spans="1:20" s="635" customFormat="1" ht="71.25" customHeight="1">
      <c r="A12" s="1184" t="s">
        <v>563</v>
      </c>
      <c r="B12" s="1184" t="s">
        <v>564</v>
      </c>
      <c r="C12" s="1184" t="s">
        <v>565</v>
      </c>
      <c r="D12" s="1184" t="s">
        <v>566</v>
      </c>
      <c r="E12" s="1190">
        <f>+'10.a-Cash-flow 1. év'!O20</f>
        <v>1263500</v>
      </c>
      <c r="F12" s="1190">
        <f>+'10.b-Cash-flow 2. év'!O20</f>
        <v>0</v>
      </c>
      <c r="G12" s="1190">
        <f>+'10.a-Cash-flow 1. év'!O20+'10.b-Cash-flow 2. év'!O20</f>
        <v>1263500</v>
      </c>
      <c r="H12" s="656"/>
      <c r="I12" s="670" t="str">
        <f>IF(E12&gt;0,"Az 1. üzleti évre tervezett költséget foglalkoztatásra.","Az 1. üzleti évre NEM tervezett költséget foglalkoztatásra, kérjük pótolja!")</f>
        <v>Az 1. üzleti évre tervezett költséget foglalkoztatásra.</v>
      </c>
      <c r="J12" s="637"/>
      <c r="K12" s="669" t="s">
        <v>612</v>
      </c>
      <c r="L12" s="637"/>
      <c r="M12" s="671" t="str">
        <f>IF(P12&gt;0,"A 3. üzleti évre tervezett költséget foglalkoztatásra.","A 3. üzleti évre NEM tervezett költséget foglalkoztatásra, kérjük pótolja!")</f>
        <v>A 3. üzleti évre tervezett költséget foglalkoztatásra.</v>
      </c>
      <c r="N12" s="637"/>
      <c r="O12" s="672" t="s">
        <v>561</v>
      </c>
      <c r="P12" s="1192">
        <f>+'10.c-Cash-flow 3-4. év'!C20+'10.c-Cash-flow 3-4. év'!C20+'10.c-Cash-flow 3-4. év'!C59+'10.c-Cash-flow 3-4. év'!C60+'10.c-Cash-flow 3-4. év'!C61</f>
        <v>2166000</v>
      </c>
      <c r="Q12" s="1192"/>
      <c r="R12" s="638"/>
    </row>
    <row r="13" spans="1:20" s="635" customFormat="1" ht="71.25" customHeight="1">
      <c r="A13" s="1185"/>
      <c r="B13" s="1185"/>
      <c r="C13" s="1185"/>
      <c r="D13" s="1185"/>
      <c r="E13" s="1191"/>
      <c r="F13" s="1191"/>
      <c r="G13" s="1191"/>
      <c r="H13" s="656"/>
      <c r="I13" s="670" t="str">
        <f>IF(F12&gt;0,"A 2. üzleti évre tervezett költséget foglalkoztatásra.","A 2. üzleti évre NEM tervezett költséget foglalkoztatásra, kérjük pótolja!")</f>
        <v>A 2. üzleti évre NEM tervezett költséget foglalkoztatásra, kérjük pótolja!</v>
      </c>
      <c r="J13" s="673"/>
      <c r="K13" s="699" t="s">
        <v>571</v>
      </c>
      <c r="L13" s="638"/>
      <c r="N13" s="671" t="str">
        <f>IF(P13&gt;0,"A 4. üzleti évre tervezett költséget foglalkoztatásra.","A 4. üzleti évre NEM tervezett költséget foglalkoztatásra, kérjük pótolja!!")</f>
        <v>A 4. üzleti évre tervezett költséget foglalkoztatásra.</v>
      </c>
      <c r="O13" s="672" t="s">
        <v>562</v>
      </c>
      <c r="P13" s="1192">
        <f>+'10.c-Cash-flow 3-4. év'!D20+'10.c-Cash-flow 3-4. év'!D59+'10.c-Cash-flow 3-4. év'!D60+'10.c-Cash-flow 3-4. év'!D61</f>
        <v>2166000</v>
      </c>
      <c r="Q13" s="1192"/>
      <c r="R13" s="673"/>
    </row>
    <row r="14" spans="1:20" s="635" customFormat="1" ht="60">
      <c r="A14" s="664" t="s">
        <v>567</v>
      </c>
      <c r="B14" s="664" t="s">
        <v>568</v>
      </c>
      <c r="C14" s="674" t="s">
        <v>569</v>
      </c>
      <c r="D14" s="664" t="s">
        <v>570</v>
      </c>
      <c r="E14" s="675">
        <f>+'10.a-Cash-flow 1. év'!O24</f>
        <v>412000</v>
      </c>
      <c r="F14" s="675">
        <f>+'10.b-Cash-flow 2. év'!O24</f>
        <v>0</v>
      </c>
      <c r="G14" s="675">
        <f>+'10.a-Cash-flow 1. év'!O24+'10.b-Cash-flow 2. év'!O24</f>
        <v>412000</v>
      </c>
      <c r="H14" s="656"/>
      <c r="I14" s="637" t="s">
        <v>571</v>
      </c>
      <c r="J14" s="637"/>
      <c r="K14" s="637" t="s">
        <v>572</v>
      </c>
      <c r="L14" s="637"/>
      <c r="M14" s="637" t="s">
        <v>573</v>
      </c>
      <c r="N14" s="637" t="s">
        <v>574</v>
      </c>
      <c r="O14" s="637"/>
      <c r="P14" s="638"/>
      <c r="Q14" s="638"/>
      <c r="R14" s="638"/>
    </row>
    <row r="15" spans="1:20" s="635" customFormat="1" ht="30">
      <c r="A15" s="664" t="s">
        <v>575</v>
      </c>
      <c r="B15" s="664" t="s">
        <v>576</v>
      </c>
      <c r="C15" s="676"/>
      <c r="D15" s="663"/>
      <c r="E15" s="675">
        <f>+'10.a-Cash-flow 1. év'!O27</f>
        <v>0</v>
      </c>
      <c r="F15" s="675">
        <f>+'10.b-Cash-flow 2. év'!O27</f>
        <v>0</v>
      </c>
      <c r="G15" s="675">
        <f>+'10.a-Cash-flow 1. év'!O27+'10.b-Cash-flow 2. év'!O27</f>
        <v>0</v>
      </c>
      <c r="H15" s="656"/>
      <c r="I15" s="638"/>
      <c r="J15" s="638"/>
      <c r="K15" s="638"/>
      <c r="L15" s="656"/>
      <c r="M15" s="677">
        <v>0.3</v>
      </c>
      <c r="N15" s="677"/>
      <c r="O15" s="678" t="s">
        <v>550</v>
      </c>
      <c r="P15" s="638"/>
      <c r="Q15" s="638"/>
      <c r="R15" s="638"/>
    </row>
    <row r="16" spans="1:20" s="635" customFormat="1" ht="45">
      <c r="A16" s="664" t="s">
        <v>577</v>
      </c>
      <c r="B16" s="664" t="s">
        <v>576</v>
      </c>
      <c r="C16" s="679" t="s">
        <v>578</v>
      </c>
      <c r="D16" s="663"/>
      <c r="E16" s="675">
        <f>+'10.a-Cash-flow 1. év'!O28</f>
        <v>600000</v>
      </c>
      <c r="F16" s="675">
        <f>+'10.b-Cash-flow 2. év'!O28</f>
        <v>0</v>
      </c>
      <c r="G16" s="675">
        <f>+'10.a-Cash-flow 1. év'!O28+'10.b-Cash-flow 2. év'!O28</f>
        <v>600000</v>
      </c>
      <c r="H16" s="656"/>
      <c r="I16" s="657" t="str">
        <f>IF(N16=0,IF(M16&gt;O16,"HIBA! - tervezze át, meghaladja az előírt korlátot.","A tervezési korlát rendben van."),0)</f>
        <v>A tervezési korlát rendben van.</v>
      </c>
      <c r="J16" s="658"/>
      <c r="K16" s="659">
        <f>IF(N16&gt;0,IF(N16&gt;O16,"HIBA! - tervezze át, meghaladja az előírt korlátot.","A tervezési korlát rendben van."),0)</f>
        <v>0</v>
      </c>
      <c r="L16" s="656"/>
      <c r="M16" s="660">
        <f>G16</f>
        <v>600000</v>
      </c>
      <c r="N16" s="660">
        <f>IF($G$30=0,0,M16*1.27)</f>
        <v>0</v>
      </c>
      <c r="O16" s="660">
        <f>G32*0.3</f>
        <v>999999.89999999991</v>
      </c>
      <c r="P16" s="638"/>
      <c r="Q16" s="638"/>
      <c r="R16" s="638"/>
    </row>
    <row r="17" spans="1:18" s="635" customFormat="1" ht="150">
      <c r="A17" s="664" t="s">
        <v>579</v>
      </c>
      <c r="B17" s="664" t="s">
        <v>580</v>
      </c>
      <c r="C17" s="664" t="s">
        <v>581</v>
      </c>
      <c r="D17" s="664" t="s">
        <v>582</v>
      </c>
      <c r="E17" s="675">
        <f>+'10.a-Cash-flow 1. év'!O29</f>
        <v>0</v>
      </c>
      <c r="F17" s="675">
        <f>+'10.b-Cash-flow 2. év'!O29</f>
        <v>0</v>
      </c>
      <c r="G17" s="675">
        <f>+'10.a-Cash-flow 1. év'!O29+'10.b-Cash-flow 2. év'!O29</f>
        <v>0</v>
      </c>
      <c r="H17" s="656"/>
      <c r="I17" s="638"/>
      <c r="J17" s="638"/>
      <c r="K17" s="638"/>
      <c r="L17" s="638"/>
      <c r="M17" s="638"/>
      <c r="N17" s="638"/>
      <c r="O17" s="638"/>
      <c r="P17" s="638"/>
      <c r="Q17" s="638"/>
      <c r="R17" s="638"/>
    </row>
    <row r="18" spans="1:18" s="635" customFormat="1" ht="75">
      <c r="A18" s="664" t="s">
        <v>583</v>
      </c>
      <c r="B18" s="664" t="s">
        <v>584</v>
      </c>
      <c r="C18" s="676"/>
      <c r="D18" s="664" t="s">
        <v>585</v>
      </c>
      <c r="E18" s="675">
        <f>+'10.a-Cash-flow 1. év'!O32</f>
        <v>260000</v>
      </c>
      <c r="F18" s="675">
        <f>+'10.b-Cash-flow 2. év'!O32</f>
        <v>0</v>
      </c>
      <c r="G18" s="675">
        <f>+'10.a-Cash-flow 1. év'!O32+'10.b-Cash-flow 2. év'!O32</f>
        <v>260000</v>
      </c>
      <c r="H18" s="656"/>
      <c r="I18" s="638"/>
      <c r="J18" s="638"/>
      <c r="K18" s="638"/>
      <c r="L18" s="656"/>
      <c r="M18" s="680">
        <v>0.3</v>
      </c>
      <c r="N18" s="680"/>
      <c r="O18" s="681" t="s">
        <v>586</v>
      </c>
      <c r="P18" s="638"/>
      <c r="Q18" s="638"/>
      <c r="R18" s="638"/>
    </row>
    <row r="19" spans="1:18" s="635" customFormat="1" ht="45">
      <c r="A19" s="664" t="s">
        <v>587</v>
      </c>
      <c r="B19" s="664" t="s">
        <v>588</v>
      </c>
      <c r="C19" s="682" t="s">
        <v>578</v>
      </c>
      <c r="D19" s="664" t="s">
        <v>589</v>
      </c>
      <c r="E19" s="675">
        <f>+'10.a-Cash-flow 1. év'!O35</f>
        <v>90213</v>
      </c>
      <c r="F19" s="675">
        <f>+'10.b-Cash-flow 2. év'!O35</f>
        <v>0</v>
      </c>
      <c r="G19" s="675">
        <f>+'10.a-Cash-flow 1. év'!O35+'10.b-Cash-flow 2. év'!O35</f>
        <v>90213</v>
      </c>
      <c r="H19" s="656"/>
      <c r="I19" s="657" t="str">
        <f>IF(N19=0,IF(M19&gt;O19,"HIBA! - tervezze át, meghaladja az előírt korlátot.","A tervezési korlát rendben van."),0)</f>
        <v>A tervezési korlát rendben van.</v>
      </c>
      <c r="J19" s="658"/>
      <c r="K19" s="659">
        <f>IF(N19&gt;0,IF(N19&gt;O19,"HIBA! - tervezze át, meghaladja az előírt korlátot.","A tervezési korlát rendben van."),0)</f>
        <v>0</v>
      </c>
      <c r="L19" s="656"/>
      <c r="M19" s="660">
        <f>G19</f>
        <v>90213</v>
      </c>
      <c r="N19" s="660">
        <f>IF($G$30=0,0,M19*1.27)</f>
        <v>0</v>
      </c>
      <c r="O19" s="660">
        <f>G32*0.3</f>
        <v>999999.89999999991</v>
      </c>
      <c r="P19" s="638"/>
      <c r="Q19" s="638"/>
      <c r="R19" s="638"/>
    </row>
    <row r="20" spans="1:18" s="635" customFormat="1" ht="60">
      <c r="A20" s="664" t="s">
        <v>590</v>
      </c>
      <c r="B20" s="664" t="s">
        <v>591</v>
      </c>
      <c r="C20" s="1193" t="s">
        <v>578</v>
      </c>
      <c r="D20" s="664" t="s">
        <v>592</v>
      </c>
      <c r="E20" s="683">
        <f>+'10.a-Cash-flow 1. év'!O36</f>
        <v>0</v>
      </c>
      <c r="F20" s="683">
        <f>+'10.b-Cash-flow 2. év'!O36</f>
        <v>0</v>
      </c>
      <c r="G20" s="683">
        <f>+'10.a-Cash-flow 1. év'!O36+'10.b-Cash-flow 2. év'!O36</f>
        <v>0</v>
      </c>
      <c r="H20" s="656"/>
      <c r="I20" s="638"/>
      <c r="J20" s="638"/>
      <c r="K20" s="638"/>
      <c r="L20" s="656"/>
      <c r="M20" s="684">
        <v>0.3</v>
      </c>
      <c r="N20" s="684"/>
      <c r="O20" s="685" t="s">
        <v>586</v>
      </c>
      <c r="P20" s="638"/>
      <c r="Q20" s="638"/>
      <c r="R20" s="638"/>
    </row>
    <row r="21" spans="1:18" s="635" customFormat="1" ht="165">
      <c r="A21" s="664" t="s">
        <v>593</v>
      </c>
      <c r="B21" s="664" t="s">
        <v>594</v>
      </c>
      <c r="C21" s="1193"/>
      <c r="D21" s="664" t="s">
        <v>595</v>
      </c>
      <c r="E21" s="683">
        <f>+'10.a-Cash-flow 1. év'!O37</f>
        <v>700000</v>
      </c>
      <c r="F21" s="683">
        <f>+'10.b-Cash-flow 2. év'!O37</f>
        <v>0</v>
      </c>
      <c r="G21" s="683">
        <f>+'10.a-Cash-flow 1. év'!O37+'10.b-Cash-flow 2. év'!O37</f>
        <v>700000</v>
      </c>
      <c r="H21" s="656"/>
      <c r="I21" s="695" t="str">
        <f>IF(N21=0,IF(M21&gt;O21,"HIBA! - tervezze át, meghaladja az előírt korlátot.","A tervezési korlát rendben van."),0)</f>
        <v>A tervezési korlát rendben van.</v>
      </c>
      <c r="J21" s="658"/>
      <c r="K21" s="696">
        <f>IF(N21&gt;0,IF(N21&gt;O21,"HIBA! - tervezze át, meghaladja az előírt korlátot.","A tervezési korlát rendben van."),0)</f>
        <v>0</v>
      </c>
      <c r="L21" s="656"/>
      <c r="M21" s="660">
        <f>G20+G21</f>
        <v>700000</v>
      </c>
      <c r="N21" s="660">
        <f>IF($G$30=0,0,M21*1.27)</f>
        <v>0</v>
      </c>
      <c r="O21" s="660">
        <f>G32*0.3</f>
        <v>999999.89999999991</v>
      </c>
      <c r="P21" s="638"/>
      <c r="Q21" s="637"/>
      <c r="R21" s="638"/>
    </row>
    <row r="22" spans="1:18" s="635" customFormat="1" ht="37.5" customHeight="1">
      <c r="A22" s="1184" t="s">
        <v>596</v>
      </c>
      <c r="B22" s="1184" t="s">
        <v>597</v>
      </c>
      <c r="C22" s="1195"/>
      <c r="D22" s="1184" t="s">
        <v>598</v>
      </c>
      <c r="E22" s="1190">
        <f>+'10.a-Cash-flow 1. év'!O38</f>
        <v>0</v>
      </c>
      <c r="F22" s="1190">
        <f>+'10.b-Cash-flow 2. év'!O38</f>
        <v>0</v>
      </c>
      <c r="G22" s="1190">
        <f>+'10.a-Cash-flow 1. év'!O38+'10.b-Cash-flow 2. év'!O38</f>
        <v>0</v>
      </c>
      <c r="H22" s="656"/>
      <c r="I22" s="120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0"/>
      <c r="K22" s="1200"/>
      <c r="L22" s="656"/>
      <c r="M22" s="704"/>
      <c r="N22" s="704"/>
      <c r="O22" s="704"/>
      <c r="P22" s="702"/>
      <c r="Q22" s="669" t="s">
        <v>609</v>
      </c>
      <c r="R22" s="703"/>
    </row>
    <row r="23" spans="1:18" s="635" customFormat="1" ht="37.5">
      <c r="A23" s="1194"/>
      <c r="B23" s="1194"/>
      <c r="C23" s="1196"/>
      <c r="D23" s="1194"/>
      <c r="E23" s="1198"/>
      <c r="F23" s="1198"/>
      <c r="G23" s="1198"/>
      <c r="H23" s="656"/>
      <c r="I23" s="697" t="str">
        <f>IF(N23=0,IF(M23&gt;O23,"HIBA! - tervezze át, meghaladja az előírt korlátot.","A tervezési korlát rendben van."),0)</f>
        <v>A tervezési korlát rendben van.</v>
      </c>
      <c r="J23" s="638"/>
      <c r="K23" s="698">
        <f>IF(N23&gt;0,IF(N23&gt;O23,"HIBA! - tervezze át, meghaladja az előírt korlátot.","A tervezési korlát rendben van."),0)</f>
        <v>0</v>
      </c>
      <c r="L23" s="638"/>
      <c r="M23" s="705">
        <f>+G22</f>
        <v>0</v>
      </c>
      <c r="N23" s="705">
        <f>IF($G$30=0,0,M23*1.27)</f>
        <v>0</v>
      </c>
      <c r="O23" s="705">
        <f>300000*1.27</f>
        <v>381000</v>
      </c>
      <c r="P23" s="702"/>
      <c r="Q23" s="699"/>
      <c r="R23" s="703"/>
    </row>
    <row r="24" spans="1:18" s="635" customFormat="1" ht="39.75" customHeight="1">
      <c r="A24" s="1194"/>
      <c r="B24" s="1194"/>
      <c r="C24" s="1196"/>
      <c r="D24" s="1194"/>
      <c r="E24" s="1198"/>
      <c r="F24" s="1198"/>
      <c r="G24" s="1198"/>
      <c r="H24" s="656"/>
      <c r="I24" s="1200">
        <f>IF(M24=0,"Nem tervezett anyagköltséget a 3. üzleti évre, kérjük vizsgálja felül miért nincs szüksége vállalkozásának vásárolt anyagokra.",0)</f>
        <v>0</v>
      </c>
      <c r="J24" s="1200"/>
      <c r="K24" s="1200"/>
      <c r="M24" s="1201">
        <f>+'10.c-Cash-flow 3-4. év'!C50+'10.c-Cash-flow 3-4. év'!C51</f>
        <v>24000</v>
      </c>
      <c r="N24" s="1202"/>
      <c r="O24" s="1202"/>
      <c r="P24" s="672" t="s">
        <v>607</v>
      </c>
      <c r="Q24" s="699" t="s">
        <v>610</v>
      </c>
      <c r="R24" s="703"/>
    </row>
    <row r="25" spans="1:18" s="635" customFormat="1" ht="39.75" customHeight="1">
      <c r="A25" s="1185"/>
      <c r="B25" s="1185"/>
      <c r="C25" s="1197"/>
      <c r="D25" s="1185"/>
      <c r="E25" s="1191"/>
      <c r="F25" s="1191"/>
      <c r="G25" s="1191"/>
      <c r="H25" s="656"/>
      <c r="I25" s="1200">
        <f>IF(M25=0,"Nem tervezett anyagköltséget a 4. üzleti évre, kérjük vizsgálja felül miért nincs szüksége vállalkozásának vásárolt anyagokra.",0)</f>
        <v>0</v>
      </c>
      <c r="J25" s="1200"/>
      <c r="K25" s="1200"/>
      <c r="M25" s="1201">
        <f>+'10.c-Cash-flow 3-4. év'!D50+'10.c-Cash-flow 3-4. év'!D51</f>
        <v>24000</v>
      </c>
      <c r="N25" s="1202"/>
      <c r="O25" s="1202"/>
      <c r="P25" s="672" t="s">
        <v>608</v>
      </c>
      <c r="Q25" s="699" t="s">
        <v>611</v>
      </c>
      <c r="R25" s="703"/>
    </row>
    <row r="26" spans="1:18" s="635" customFormat="1" ht="150">
      <c r="A26" s="664" t="s">
        <v>599</v>
      </c>
      <c r="B26" s="665" t="s">
        <v>600</v>
      </c>
      <c r="C26" s="666" t="s">
        <v>601</v>
      </c>
      <c r="D26" s="663"/>
      <c r="E26" s="667">
        <f>+'10.a-Cash-flow 1. év'!O39</f>
        <v>0</v>
      </c>
      <c r="F26" s="667">
        <f>+'10.b-Cash-flow 2. év'!O39</f>
        <v>0</v>
      </c>
      <c r="G26" s="667">
        <f>+'10.a-Cash-flow 1. év'!O39+'10.b-Cash-flow 2. év'!O39</f>
        <v>0</v>
      </c>
      <c r="H26" s="656"/>
      <c r="I26" s="638"/>
      <c r="J26" s="638"/>
      <c r="K26" s="638"/>
      <c r="L26" s="638"/>
      <c r="M26" s="638"/>
      <c r="N26" s="638"/>
      <c r="O26" s="638"/>
      <c r="P26" s="638"/>
      <c r="Q26" s="637"/>
      <c r="R26" s="638"/>
    </row>
    <row r="27" spans="1:18" s="686" customFormat="1" ht="18.75">
      <c r="A27" s="1199" t="s">
        <v>223</v>
      </c>
      <c r="B27" s="1199"/>
      <c r="C27" s="1199"/>
      <c r="E27" s="687">
        <f>SUM(E9:E26)</f>
        <v>3333333</v>
      </c>
      <c r="F27" s="687">
        <f>SUM(F9:F26)</f>
        <v>0</v>
      </c>
      <c r="G27" s="687">
        <f>SUM(G9:G26)</f>
        <v>3333333</v>
      </c>
      <c r="M27" s="688"/>
      <c r="N27" s="688"/>
      <c r="O27" s="688"/>
      <c r="P27" s="688"/>
      <c r="Q27" s="688"/>
      <c r="R27" s="688"/>
    </row>
    <row r="28" spans="1:18" s="635" customFormat="1" ht="21">
      <c r="B28" s="689"/>
      <c r="C28" s="689"/>
      <c r="D28" s="690"/>
      <c r="E28" s="691"/>
      <c r="F28" s="691"/>
      <c r="G28" s="691"/>
      <c r="M28" s="638"/>
      <c r="N28" s="638"/>
      <c r="O28" s="638"/>
      <c r="P28" s="638"/>
      <c r="Q28" s="638"/>
      <c r="R28" s="638"/>
    </row>
    <row r="29" spans="1:18" s="635" customFormat="1" ht="21">
      <c r="B29" s="689"/>
      <c r="C29" s="689"/>
      <c r="D29" s="690"/>
      <c r="E29" s="690"/>
      <c r="F29" s="690"/>
      <c r="G29" s="690"/>
      <c r="M29" s="638"/>
      <c r="N29" s="638"/>
      <c r="O29" s="638"/>
      <c r="P29" s="638"/>
      <c r="Q29" s="638"/>
      <c r="R29" s="638"/>
    </row>
    <row r="30" spans="1:18" s="635" customFormat="1" ht="21">
      <c r="B30" s="689"/>
      <c r="C30" s="689"/>
      <c r="D30" s="692" t="s">
        <v>602</v>
      </c>
      <c r="E30" s="693">
        <f>+'10.a-Cash-flow 1. év'!O44</f>
        <v>0</v>
      </c>
      <c r="F30" s="693">
        <f>+'10.b-Cash-flow 2. év'!O44</f>
        <v>0</v>
      </c>
      <c r="G30" s="693">
        <f>+F30+E30</f>
        <v>0</v>
      </c>
      <c r="M30" s="638"/>
      <c r="N30" s="638"/>
      <c r="O30" s="638"/>
      <c r="P30" s="638"/>
      <c r="Q30" s="638"/>
      <c r="R30" s="638"/>
    </row>
    <row r="31" spans="1:18" s="635" customFormat="1" ht="21">
      <c r="B31" s="689"/>
      <c r="C31" s="689"/>
      <c r="D31" s="690"/>
      <c r="E31" s="690"/>
      <c r="F31" s="690"/>
      <c r="G31" s="690"/>
      <c r="M31" s="638"/>
      <c r="N31" s="638"/>
      <c r="O31" s="638"/>
      <c r="P31" s="638"/>
      <c r="Q31" s="638"/>
      <c r="R31" s="638"/>
    </row>
    <row r="32" spans="1:18" s="635" customFormat="1" ht="21">
      <c r="B32" s="689"/>
      <c r="C32" s="689"/>
      <c r="D32" s="690"/>
      <c r="E32" s="694">
        <f t="shared" ref="E32:F32" si="0">+E30+E27</f>
        <v>3333333</v>
      </c>
      <c r="F32" s="694">
        <f t="shared" si="0"/>
        <v>0</v>
      </c>
      <c r="G32" s="694">
        <f>+G30+G27</f>
        <v>3333333</v>
      </c>
      <c r="M32" s="638"/>
      <c r="N32" s="638"/>
      <c r="O32" s="638"/>
      <c r="P32" s="638"/>
      <c r="Q32" s="638"/>
      <c r="R32" s="638"/>
    </row>
    <row r="33" spans="1:18" s="635" customFormat="1">
      <c r="B33" s="689"/>
      <c r="C33" s="689"/>
      <c r="M33" s="638"/>
      <c r="N33" s="638"/>
      <c r="O33" s="638"/>
      <c r="P33" s="638"/>
      <c r="Q33" s="638"/>
      <c r="R33" s="638"/>
    </row>
    <row r="34" spans="1:18" s="635" customFormat="1">
      <c r="M34" s="638"/>
      <c r="N34" s="638"/>
      <c r="O34" s="638"/>
      <c r="P34" s="638"/>
      <c r="Q34" s="638"/>
      <c r="R34" s="638"/>
    </row>
    <row r="35" spans="1:18" s="635" customFormat="1">
      <c r="A35" s="643"/>
      <c r="B35" s="643"/>
      <c r="C35" s="643"/>
      <c r="D35" s="643"/>
      <c r="E35" s="643"/>
      <c r="F35" s="643"/>
      <c r="G35" s="643"/>
      <c r="M35" s="638"/>
      <c r="N35" s="638"/>
      <c r="O35" s="638"/>
      <c r="P35" s="638"/>
      <c r="Q35" s="638"/>
      <c r="R35" s="673"/>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5" zoomScale="60" zoomScaleNormal="60" workbookViewId="0">
      <selection activeCell="B13" sqref="B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417</v>
      </c>
      <c r="C2" s="727"/>
    </row>
    <row r="3" spans="2:9" ht="31.5" customHeight="1">
      <c r="B3" s="728" t="s">
        <v>529</v>
      </c>
      <c r="C3" s="728"/>
    </row>
    <row r="4" spans="2:9" ht="31.5" customHeight="1">
      <c r="B4" s="729" t="s">
        <v>531</v>
      </c>
      <c r="C4" s="729"/>
      <c r="D4" s="57"/>
      <c r="E4" s="57"/>
    </row>
    <row r="5" spans="2:9" ht="28.5" customHeight="1">
      <c r="B5" s="730" t="s">
        <v>530</v>
      </c>
      <c r="C5" s="731"/>
      <c r="I5" s="2"/>
    </row>
    <row r="6" spans="2:9" ht="165.75" customHeight="1">
      <c r="I6" s="2"/>
    </row>
    <row r="7" spans="2:9" ht="31.5" customHeight="1">
      <c r="B7" s="1" t="s">
        <v>630</v>
      </c>
      <c r="C7" s="437"/>
    </row>
    <row r="8" spans="2:9" ht="31.5" customHeight="1">
      <c r="B8" s="1" t="s">
        <v>631</v>
      </c>
      <c r="C8" s="437"/>
    </row>
    <row r="9" spans="2:9" ht="31.5" customHeight="1">
      <c r="B9" s="713" t="s">
        <v>767</v>
      </c>
      <c r="C9" s="1"/>
    </row>
    <row r="10" spans="2:9" ht="31.5" customHeight="1">
      <c r="B10" s="1" t="s">
        <v>770</v>
      </c>
      <c r="C10" s="436"/>
    </row>
    <row r="11" spans="2:9" ht="31.5" customHeight="1">
      <c r="B11" s="1"/>
      <c r="C11" s="1"/>
    </row>
    <row r="12" spans="2:9" ht="31.5" customHeight="1">
      <c r="B12" s="1"/>
      <c r="C12" s="1"/>
    </row>
    <row r="13" spans="2:9" ht="62.25" customHeight="1">
      <c r="B13" s="3" t="s">
        <v>459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C0AFA-5830-46D2-80F7-6E53A43700B5}">
  <sheetPr>
    <tabColor rgb="FF92D050"/>
  </sheetPr>
  <dimension ref="A1:CA388"/>
  <sheetViews>
    <sheetView tabSelected="1" zoomScale="70" zoomScaleNormal="70" workbookViewId="0">
      <selection activeCell="G221" sqref="G221"/>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771</v>
      </c>
      <c r="C2" s="1211"/>
      <c r="D2" s="1211"/>
      <c r="E2" s="1211"/>
      <c r="F2" s="1211"/>
      <c r="G2" s="1211"/>
      <c r="H2" s="1211"/>
      <c r="I2" s="1212"/>
      <c r="L2" s="1213" t="s">
        <v>772</v>
      </c>
      <c r="M2" s="1214"/>
      <c r="N2" s="1214"/>
      <c r="O2" s="1215"/>
      <c r="P2" s="1215"/>
      <c r="Q2" s="1215"/>
      <c r="R2" s="1215"/>
      <c r="S2" s="1215"/>
      <c r="T2" s="1216"/>
      <c r="U2" s="1208" t="s">
        <v>773</v>
      </c>
    </row>
    <row r="3" spans="2:79" ht="45" customHeight="1" thickBot="1">
      <c r="B3" s="1217"/>
      <c r="C3" s="1218" t="s">
        <v>774</v>
      </c>
      <c r="D3" s="1211"/>
      <c r="E3" s="1212"/>
      <c r="F3" s="1219"/>
      <c r="G3" s="1220"/>
      <c r="H3" s="1220"/>
      <c r="I3" s="1220"/>
      <c r="L3" s="1221" t="s">
        <v>775</v>
      </c>
      <c r="M3" s="1222" t="s">
        <v>776</v>
      </c>
      <c r="N3" s="1223" t="s">
        <v>777</v>
      </c>
      <c r="O3" s="1221" t="s">
        <v>775</v>
      </c>
      <c r="P3" s="1222" t="s">
        <v>776</v>
      </c>
      <c r="Q3" s="1223" t="s">
        <v>777</v>
      </c>
      <c r="R3" s="1221" t="s">
        <v>775</v>
      </c>
      <c r="S3" s="1222" t="s">
        <v>776</v>
      </c>
      <c r="T3" s="1223" t="s">
        <v>777</v>
      </c>
    </row>
    <row r="4" spans="2:79" ht="51.6" customHeight="1" thickBot="1">
      <c r="F4" s="1207"/>
      <c r="G4" s="1207"/>
      <c r="H4" s="1207"/>
      <c r="L4" s="1224" t="s">
        <v>778</v>
      </c>
      <c r="M4" s="1225">
        <v>8</v>
      </c>
      <c r="N4" s="1226">
        <f>I28</f>
        <v>8</v>
      </c>
      <c r="O4" s="1227" t="s">
        <v>779</v>
      </c>
      <c r="P4" s="1228">
        <v>25</v>
      </c>
      <c r="Q4" s="1229">
        <f>I172</f>
        <v>20</v>
      </c>
      <c r="R4" s="1230" t="s">
        <v>780</v>
      </c>
      <c r="S4" s="1231">
        <v>39</v>
      </c>
      <c r="T4" s="1232">
        <f>I240</f>
        <v>35</v>
      </c>
    </row>
    <row r="5" spans="2:79" ht="54.6" customHeight="1">
      <c r="B5" s="1233" t="s">
        <v>781</v>
      </c>
      <c r="C5" s="1234" t="str">
        <f>'[1]4.Vállalkozó bemutatása'!C3:E3</f>
        <v>Farkas Sándor Mihály</v>
      </c>
      <c r="D5" s="1235"/>
      <c r="E5" s="1235"/>
      <c r="F5" s="1235"/>
      <c r="G5" s="1235"/>
      <c r="H5" s="1235"/>
      <c r="I5" s="1236"/>
      <c r="L5" s="1237" t="s">
        <v>782</v>
      </c>
      <c r="M5" s="1238">
        <v>17</v>
      </c>
      <c r="N5" s="1239">
        <f>I48</f>
        <v>17</v>
      </c>
      <c r="O5" s="1240" t="s">
        <v>783</v>
      </c>
      <c r="P5" s="1241">
        <v>4</v>
      </c>
      <c r="Q5" s="1242">
        <f>I228</f>
        <v>4</v>
      </c>
      <c r="R5" s="1243" t="s">
        <v>784</v>
      </c>
      <c r="S5" s="1244">
        <v>10</v>
      </c>
      <c r="T5" s="1245">
        <f>I302</f>
        <v>10</v>
      </c>
    </row>
    <row r="6" spans="2:79" ht="54.6" customHeight="1">
      <c r="B6" s="1246" t="s">
        <v>785</v>
      </c>
      <c r="C6" s="1247">
        <f>'[1]4.Vállalkozó bemutatása'!C4:E4</f>
        <v>34576</v>
      </c>
      <c r="D6" s="1248"/>
      <c r="E6" s="1248"/>
      <c r="F6" s="1248"/>
      <c r="G6" s="1248"/>
      <c r="H6" s="1248"/>
      <c r="I6" s="1249"/>
      <c r="L6" s="1237" t="s">
        <v>786</v>
      </c>
      <c r="M6" s="1238">
        <v>40</v>
      </c>
      <c r="N6" s="1250">
        <f>I84</f>
        <v>35</v>
      </c>
      <c r="O6" s="1240" t="s">
        <v>787</v>
      </c>
      <c r="P6" s="1251">
        <v>27</v>
      </c>
      <c r="Q6" s="1242">
        <f>I344</f>
        <v>15</v>
      </c>
      <c r="R6" s="1243" t="s">
        <v>788</v>
      </c>
      <c r="S6" s="1244">
        <v>12</v>
      </c>
      <c r="T6" s="1245">
        <f>I323</f>
        <v>12</v>
      </c>
      <c r="Y6" s="1208"/>
      <c r="AC6" s="1252"/>
    </row>
    <row r="7" spans="2:79" ht="54.6" customHeight="1" thickBot="1">
      <c r="B7" s="1246" t="s">
        <v>789</v>
      </c>
      <c r="C7" s="1253" t="str">
        <f>'[1]4.Vállalkozó bemutatása'!C7:E7</f>
        <v>fssandor94@gmail.com</v>
      </c>
      <c r="D7" s="1248"/>
      <c r="E7" s="1248"/>
      <c r="F7" s="1248"/>
      <c r="G7" s="1248"/>
      <c r="H7" s="1248"/>
      <c r="I7" s="1249"/>
      <c r="J7" s="1254"/>
      <c r="K7" s="1254"/>
      <c r="L7" s="1255" t="s">
        <v>790</v>
      </c>
      <c r="M7" s="1256">
        <v>18</v>
      </c>
      <c r="N7" s="1257">
        <f>I142</f>
        <v>16</v>
      </c>
      <c r="O7" s="1258"/>
      <c r="P7" s="1259"/>
      <c r="Q7" s="1260"/>
      <c r="R7" s="1261"/>
      <c r="S7" s="1262"/>
      <c r="T7" s="1263"/>
    </row>
    <row r="8" spans="2:79" ht="54.6" customHeight="1">
      <c r="B8" s="1246" t="s">
        <v>791</v>
      </c>
      <c r="C8" s="1264" t="s">
        <v>792</v>
      </c>
      <c r="D8" s="1265"/>
      <c r="E8" s="1265"/>
      <c r="F8" s="1265"/>
      <c r="G8" s="1265"/>
      <c r="H8" s="1265"/>
      <c r="I8" s="1266"/>
      <c r="J8" s="1254"/>
      <c r="K8" s="1254"/>
      <c r="L8" s="1267" t="s">
        <v>793</v>
      </c>
      <c r="M8" s="1268">
        <f>SUM(M4:M7)</f>
        <v>83</v>
      </c>
      <c r="N8" s="1269"/>
      <c r="O8" s="1270" t="s">
        <v>793</v>
      </c>
      <c r="P8" s="1271">
        <f>SUM(P4:P7)</f>
        <v>56</v>
      </c>
      <c r="Q8" s="1272"/>
      <c r="R8" s="1273" t="s">
        <v>794</v>
      </c>
      <c r="S8" s="1274">
        <f>SUM(S4:S7)</f>
        <v>61</v>
      </c>
      <c r="T8" s="1275"/>
    </row>
    <row r="9" spans="2:79" ht="54.6" customHeight="1" thickBot="1">
      <c r="B9" s="1276" t="s">
        <v>795</v>
      </c>
      <c r="C9" s="1277" t="s">
        <v>796</v>
      </c>
      <c r="D9" s="1278"/>
      <c r="E9" s="1278"/>
      <c r="F9" s="1278"/>
      <c r="G9" s="1278"/>
      <c r="H9" s="1278"/>
      <c r="I9" s="1279"/>
      <c r="L9" s="1280" t="s">
        <v>797</v>
      </c>
      <c r="M9" s="1281">
        <f>ROUND(M8*0.3,0)</f>
        <v>25</v>
      </c>
      <c r="N9" s="1239"/>
      <c r="O9" s="1282" t="s">
        <v>798</v>
      </c>
      <c r="P9" s="1283">
        <f>ROUND(P8*0.3,0)</f>
        <v>17</v>
      </c>
      <c r="Q9" s="1284"/>
      <c r="R9" s="1285" t="s">
        <v>799</v>
      </c>
      <c r="S9" s="1286">
        <f>ROUND(S8*0.3,0)</f>
        <v>18</v>
      </c>
      <c r="T9" s="1287"/>
      <c r="U9" s="1288"/>
      <c r="V9" s="1289"/>
      <c r="W9" s="1288"/>
      <c r="AD9" s="1288"/>
      <c r="AK9" s="1288"/>
      <c r="AY9" s="1288"/>
      <c r="BT9" s="1288"/>
    </row>
    <row r="10" spans="2:79" ht="54.6" customHeight="1" thickBot="1">
      <c r="B10" s="1276" t="s">
        <v>800</v>
      </c>
      <c r="C10" s="1290">
        <v>43193</v>
      </c>
      <c r="D10" s="1291"/>
      <c r="E10" s="1291"/>
      <c r="F10" s="1291"/>
      <c r="G10" s="1291"/>
      <c r="H10" s="1291"/>
      <c r="I10" s="1292"/>
      <c r="L10" s="1293" t="s">
        <v>801</v>
      </c>
      <c r="M10" s="1294"/>
      <c r="N10" s="1295">
        <f>SUM(N4:N9)</f>
        <v>76</v>
      </c>
      <c r="O10" s="1296"/>
      <c r="P10" s="1297"/>
      <c r="Q10" s="1298">
        <f>SUM(Q4:Q9)</f>
        <v>39</v>
      </c>
      <c r="R10" s="1299"/>
      <c r="S10" s="1300"/>
      <c r="T10" s="1301">
        <f>SUM(T4:T9)</f>
        <v>57</v>
      </c>
      <c r="U10" s="1302"/>
    </row>
    <row r="11" spans="2:79" ht="36.950000000000003" customHeight="1" thickBot="1">
      <c r="L11" s="1303" t="s">
        <v>802</v>
      </c>
      <c r="M11" s="1304" t="s">
        <v>803</v>
      </c>
      <c r="N11" s="1295" t="str">
        <f>IF(N10&lt;M9,"KO","OK")</f>
        <v>OK</v>
      </c>
      <c r="O11" s="1296"/>
      <c r="P11" s="1298"/>
      <c r="Q11" s="1298" t="str">
        <f>IF(Q10&lt;P9,"KO","OK")</f>
        <v>OK</v>
      </c>
      <c r="R11" s="1299"/>
      <c r="S11" s="1305"/>
      <c r="T11" s="1301" t="str">
        <f>IF(T10&lt;S9,"KO","OK")</f>
        <v>OK</v>
      </c>
    </row>
    <row r="12" spans="2:79" ht="64.5" customHeight="1" thickBot="1">
      <c r="B12" s="1306" t="s">
        <v>804</v>
      </c>
      <c r="C12" s="1307"/>
      <c r="D12" s="1308"/>
      <c r="E12" s="1309" t="str">
        <f>IF(OR(M12=$M$11,M16=$M$11),"ÜT elutasítás","   ")</f>
        <v xml:space="preserve">   </v>
      </c>
      <c r="F12" s="1309"/>
      <c r="G12" s="1310"/>
      <c r="H12" s="1311">
        <f>IF(OR(M12=$M$11,M16=$M$11)," ",I24)</f>
        <v>172</v>
      </c>
      <c r="I12" s="1312"/>
      <c r="J12" s="1254"/>
      <c r="K12" s="1254"/>
      <c r="L12" s="1313" t="s">
        <v>805</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806</v>
      </c>
      <c r="C14" s="1319"/>
      <c r="D14" s="1319"/>
      <c r="E14" s="1319"/>
      <c r="F14" s="1319"/>
      <c r="G14" s="1320"/>
      <c r="H14" s="1321">
        <v>60</v>
      </c>
      <c r="I14" s="1322"/>
      <c r="J14" s="1254"/>
      <c r="K14" s="1254"/>
      <c r="L14" s="1323" t="s">
        <v>807</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808</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809</v>
      </c>
      <c r="C18" s="1329">
        <v>200</v>
      </c>
      <c r="D18" s="1330" t="s">
        <v>810</v>
      </c>
      <c r="E18" s="1331" t="s">
        <v>803</v>
      </c>
      <c r="F18" s="1332">
        <v>1</v>
      </c>
      <c r="G18" s="1332">
        <v>2</v>
      </c>
      <c r="H18" s="1332">
        <v>3</v>
      </c>
      <c r="I18" s="1333" t="s">
        <v>103</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811</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812</v>
      </c>
      <c r="C20" s="1341">
        <v>60</v>
      </c>
      <c r="D20" s="1342" t="s">
        <v>813</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814</v>
      </c>
      <c r="C24" s="1348"/>
      <c r="D24" s="1348"/>
      <c r="E24" s="1349"/>
      <c r="F24" s="1350"/>
      <c r="G24" s="1351">
        <f>SUM(G25:G384)</f>
        <v>172</v>
      </c>
      <c r="H24" s="1352" t="str">
        <f>IF(OR(G89="KO",G96="KO",G111="KO",G357="KO",G366="KO",G89="KO"),"KO"," ")</f>
        <v xml:space="preserve"> </v>
      </c>
      <c r="I24" s="1351">
        <f>SUM(I25:I384)</f>
        <v>172</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815</v>
      </c>
      <c r="G27" s="1358"/>
      <c r="H27" s="1357" t="s">
        <v>816</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817</v>
      </c>
      <c r="C28" s="1362" t="s">
        <v>818</v>
      </c>
      <c r="D28" s="1362"/>
      <c r="E28" s="1363"/>
      <c r="F28" s="1364">
        <f>+E34+E42</f>
        <v>0</v>
      </c>
      <c r="G28" s="1365"/>
      <c r="H28" s="1366">
        <v>8</v>
      </c>
      <c r="I28" s="1367">
        <f>SUM(G33,G41)</f>
        <v>8</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819</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820</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821</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822</v>
      </c>
      <c r="C33" s="1378" t="s">
        <v>823</v>
      </c>
      <c r="D33" s="1378" t="s">
        <v>824</v>
      </c>
      <c r="E33" s="1379" t="s">
        <v>825</v>
      </c>
      <c r="F33" s="1380" t="s">
        <v>826</v>
      </c>
      <c r="G33" s="1381">
        <v>6</v>
      </c>
      <c r="H33" s="1372"/>
      <c r="I33" s="1254"/>
      <c r="J33" s="1254"/>
      <c r="K33" s="1254"/>
      <c r="L33" s="1382"/>
      <c r="M33" s="1383"/>
      <c r="N33" s="1384"/>
      <c r="O33" s="1385" t="s">
        <v>827</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828</v>
      </c>
      <c r="C34" s="1389">
        <v>0</v>
      </c>
      <c r="D34" s="1390">
        <v>3</v>
      </c>
      <c r="E34" s="1391">
        <v>0</v>
      </c>
      <c r="F34" s="1392"/>
      <c r="G34" s="1393"/>
      <c r="H34" s="1393"/>
      <c r="I34" s="1394"/>
      <c r="J34" s="1254"/>
      <c r="K34" s="1254"/>
      <c r="L34" s="1395"/>
      <c r="M34" s="1396"/>
      <c r="N34" s="1397"/>
      <c r="O34" s="1385" t="s">
        <v>829</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830</v>
      </c>
      <c r="C35" s="1399">
        <v>1</v>
      </c>
      <c r="D35" s="1400">
        <v>3</v>
      </c>
      <c r="E35" s="1401">
        <v>3</v>
      </c>
      <c r="F35" s="1392"/>
      <c r="G35" s="1402"/>
      <c r="H35" s="1402"/>
      <c r="I35" s="1403"/>
      <c r="J35" s="1254"/>
      <c r="K35" s="1254"/>
      <c r="L35" s="1395"/>
      <c r="M35" s="1396"/>
      <c r="N35" s="1397"/>
      <c r="O35" s="1385" t="s">
        <v>831</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832</v>
      </c>
      <c r="C36" s="1405">
        <v>2</v>
      </c>
      <c r="D36" s="1406">
        <v>3</v>
      </c>
      <c r="E36" s="1407">
        <v>6</v>
      </c>
      <c r="F36" s="1408"/>
      <c r="G36" s="1409"/>
      <c r="H36" s="1409"/>
      <c r="I36" s="1410"/>
      <c r="J36" s="1254"/>
      <c r="K36" s="1254"/>
      <c r="L36" s="1411"/>
      <c r="M36" s="1412"/>
      <c r="N36" s="1413"/>
      <c r="O36" s="1385" t="s">
        <v>833</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834</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835</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821</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822</v>
      </c>
      <c r="C41" s="1378" t="s">
        <v>823</v>
      </c>
      <c r="D41" s="1378" t="s">
        <v>824</v>
      </c>
      <c r="E41" s="1379" t="s">
        <v>825</v>
      </c>
      <c r="F41" s="1380" t="s">
        <v>826</v>
      </c>
      <c r="G41" s="1416">
        <v>2</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828</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830</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832</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815</v>
      </c>
      <c r="G47" s="1358"/>
      <c r="H47" s="1357" t="s">
        <v>816</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836</v>
      </c>
      <c r="C48" s="1362" t="s">
        <v>837</v>
      </c>
      <c r="D48" s="1362"/>
      <c r="E48" s="1363"/>
      <c r="F48" s="1364">
        <v>1</v>
      </c>
      <c r="G48" s="1365"/>
      <c r="H48" s="1366">
        <v>17</v>
      </c>
      <c r="I48" s="1367">
        <f>SUM(G53,G61,G69,G77)</f>
        <v>17</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838</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839</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821</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822</v>
      </c>
      <c r="C53" s="1378" t="s">
        <v>823</v>
      </c>
      <c r="D53" s="1378" t="s">
        <v>824</v>
      </c>
      <c r="E53" s="1379" t="s">
        <v>825</v>
      </c>
      <c r="F53" s="1423" t="s">
        <v>826</v>
      </c>
      <c r="G53" s="1416">
        <v>3</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840</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841</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842</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843</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844</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821</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822</v>
      </c>
      <c r="C61" s="1378" t="s">
        <v>823</v>
      </c>
      <c r="D61" s="1378" t="s">
        <v>824</v>
      </c>
      <c r="E61" s="1379" t="s">
        <v>825</v>
      </c>
      <c r="F61" s="1423" t="s">
        <v>826</v>
      </c>
      <c r="G61" s="1416">
        <v>4</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845</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846</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847</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848</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849</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821</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822</v>
      </c>
      <c r="C69" s="1378" t="s">
        <v>823</v>
      </c>
      <c r="D69" s="1378" t="s">
        <v>824</v>
      </c>
      <c r="E69" s="1379" t="s">
        <v>825</v>
      </c>
      <c r="F69" s="1423" t="s">
        <v>826</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828</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830</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832</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850</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851</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852</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822</v>
      </c>
      <c r="C77" s="1378" t="s">
        <v>823</v>
      </c>
      <c r="D77" s="1378" t="s">
        <v>824</v>
      </c>
      <c r="E77" s="1379" t="s">
        <v>825</v>
      </c>
      <c r="F77" s="1423" t="s">
        <v>826</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828</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830</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832</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815</v>
      </c>
      <c r="G83" s="1358"/>
      <c r="H83" s="1357" t="s">
        <v>816</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853</v>
      </c>
      <c r="C84" s="1362" t="s">
        <v>854</v>
      </c>
      <c r="D84" s="1362"/>
      <c r="E84" s="1363"/>
      <c r="F84" s="1364">
        <v>22</v>
      </c>
      <c r="G84" s="1365"/>
      <c r="H84" s="1366">
        <v>40</v>
      </c>
      <c r="I84" s="1367">
        <f>SUM(G89,G96,G103,G111,G118,G126,G134)</f>
        <v>35</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855</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856</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852</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822</v>
      </c>
      <c r="C89" s="1428" t="s">
        <v>823</v>
      </c>
      <c r="D89" s="1428" t="s">
        <v>824</v>
      </c>
      <c r="E89" s="1429" t="s">
        <v>825</v>
      </c>
      <c r="F89" s="1423" t="s">
        <v>826</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857</v>
      </c>
      <c r="C90" s="1430" t="s">
        <v>858</v>
      </c>
      <c r="D90" s="1431"/>
      <c r="E90" s="1432" t="s">
        <v>803</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859</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860</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861</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852</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822</v>
      </c>
      <c r="C96" s="1428" t="s">
        <v>823</v>
      </c>
      <c r="D96" s="1428" t="s">
        <v>824</v>
      </c>
      <c r="E96" s="1429" t="s">
        <v>825</v>
      </c>
      <c r="F96" s="1423" t="s">
        <v>826</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857</v>
      </c>
      <c r="C97" s="1430" t="s">
        <v>858</v>
      </c>
      <c r="D97" s="1431"/>
      <c r="E97" s="1432" t="s">
        <v>803</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859</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862</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863</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852</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822</v>
      </c>
      <c r="C103" s="1378" t="s">
        <v>823</v>
      </c>
      <c r="D103" s="1378" t="s">
        <v>824</v>
      </c>
      <c r="E103" s="1379" t="s">
        <v>825</v>
      </c>
      <c r="F103" s="1423" t="s">
        <v>826</v>
      </c>
      <c r="G103" s="1416">
        <v>6</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864</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865</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866</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867</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868</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852</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822</v>
      </c>
      <c r="C111" s="1428" t="s">
        <v>823</v>
      </c>
      <c r="D111" s="1428" t="s">
        <v>824</v>
      </c>
      <c r="E111" s="1429" t="s">
        <v>825</v>
      </c>
      <c r="F111" s="1423" t="s">
        <v>826</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857</v>
      </c>
      <c r="C112" s="1430" t="s">
        <v>858</v>
      </c>
      <c r="D112" s="1431"/>
      <c r="E112" s="1432" t="s">
        <v>803</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859</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869</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870</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821</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822</v>
      </c>
      <c r="C118" s="1437" t="s">
        <v>823</v>
      </c>
      <c r="D118" s="1438" t="s">
        <v>824</v>
      </c>
      <c r="E118" s="1439" t="s">
        <v>825</v>
      </c>
      <c r="F118" s="1423" t="s">
        <v>826</v>
      </c>
      <c r="G118" s="1416">
        <v>6</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871</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872</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873</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874</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875</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821</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822</v>
      </c>
      <c r="C126" s="1437" t="s">
        <v>823</v>
      </c>
      <c r="D126" s="1438" t="s">
        <v>824</v>
      </c>
      <c r="E126" s="1439" t="s">
        <v>825</v>
      </c>
      <c r="F126" s="1423" t="s">
        <v>826</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828</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876</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877</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878</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879</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821</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822</v>
      </c>
      <c r="C134" s="1437" t="s">
        <v>823</v>
      </c>
      <c r="D134" s="1438" t="s">
        <v>824</v>
      </c>
      <c r="E134" s="1439" t="s">
        <v>825</v>
      </c>
      <c r="F134" s="1423" t="s">
        <v>826</v>
      </c>
      <c r="G134" s="1416">
        <v>4</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880</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881</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882</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815</v>
      </c>
      <c r="G141" s="1358"/>
      <c r="H141" s="1357" t="s">
        <v>816</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883</v>
      </c>
      <c r="C142" s="1362" t="s">
        <v>884</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885</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886</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821</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822</v>
      </c>
      <c r="C147" s="1378" t="s">
        <v>823</v>
      </c>
      <c r="D147" s="1378" t="s">
        <v>824</v>
      </c>
      <c r="E147" s="1379" t="s">
        <v>825</v>
      </c>
      <c r="F147" s="1423" t="s">
        <v>826</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887</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888</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889</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890</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891</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821</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822</v>
      </c>
      <c r="C155" s="1378" t="s">
        <v>823</v>
      </c>
      <c r="D155" s="1378" t="s">
        <v>824</v>
      </c>
      <c r="E155" s="1379" t="s">
        <v>825</v>
      </c>
      <c r="F155" s="1423" t="s">
        <v>826</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892</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893</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894</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895</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896</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821</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822</v>
      </c>
      <c r="C163" s="1378" t="s">
        <v>823</v>
      </c>
      <c r="D163" s="1378" t="s">
        <v>824</v>
      </c>
      <c r="E163" s="1379" t="s">
        <v>825</v>
      </c>
      <c r="F163" s="1423" t="s">
        <v>826</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897</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898</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899</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815</v>
      </c>
      <c r="G171" s="1358"/>
      <c r="H171" s="1357" t="s">
        <v>816</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900</v>
      </c>
      <c r="C172" s="1362" t="s">
        <v>901</v>
      </c>
      <c r="D172" s="1362"/>
      <c r="E172" s="1363"/>
      <c r="F172" s="1364">
        <v>0</v>
      </c>
      <c r="G172" s="1365"/>
      <c r="H172" s="1366">
        <v>25</v>
      </c>
      <c r="I172" s="1367">
        <f>SUM(G177,G185,G193,G201,G211,G220)</f>
        <v>20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902</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903</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821</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822</v>
      </c>
      <c r="C177" s="1378" t="s">
        <v>823</v>
      </c>
      <c r="D177" s="1378" t="s">
        <v>824</v>
      </c>
      <c r="E177" s="1379" t="s">
        <v>825</v>
      </c>
      <c r="F177" s="1423" t="s">
        <v>826</v>
      </c>
      <c r="G177" s="1416">
        <v>4</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828</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830</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832</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904</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905</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821</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822</v>
      </c>
      <c r="C185" s="1378" t="s">
        <v>823</v>
      </c>
      <c r="D185" s="1378" t="s">
        <v>824</v>
      </c>
      <c r="E185" s="1379" t="s">
        <v>825</v>
      </c>
      <c r="F185" s="1423" t="s">
        <v>826</v>
      </c>
      <c r="G185" s="1416">
        <v>6</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828</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830</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832</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906</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907</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821</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822</v>
      </c>
      <c r="C193" s="1378" t="s">
        <v>823</v>
      </c>
      <c r="D193" s="1378" t="s">
        <v>824</v>
      </c>
      <c r="E193" s="1379" t="s">
        <v>825</v>
      </c>
      <c r="F193" s="1423" t="s">
        <v>826</v>
      </c>
      <c r="G193" s="1416">
        <v>2</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908</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909</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910</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911</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912</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821</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822</v>
      </c>
      <c r="C201" s="1378" t="s">
        <v>823</v>
      </c>
      <c r="D201" s="1378" t="s">
        <v>824</v>
      </c>
      <c r="E201" s="1379" t="s">
        <v>825</v>
      </c>
      <c r="F201" s="1423" t="s">
        <v>826</v>
      </c>
      <c r="G201" s="1381">
        <v>2</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913</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914</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915</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916</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917</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918</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919</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821</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822</v>
      </c>
      <c r="C211" s="1378" t="s">
        <v>823</v>
      </c>
      <c r="D211" s="1378" t="s">
        <v>824</v>
      </c>
      <c r="E211" s="1379" t="s">
        <v>825</v>
      </c>
      <c r="F211" s="1423" t="s">
        <v>826</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920</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921</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922</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923</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924</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925</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926</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822</v>
      </c>
      <c r="C220" s="1378" t="s">
        <v>823</v>
      </c>
      <c r="D220" s="1378" t="s">
        <v>824</v>
      </c>
      <c r="E220" s="1379" t="s">
        <v>825</v>
      </c>
      <c r="F220" s="1423" t="s">
        <v>826</v>
      </c>
      <c r="G220" s="1416">
        <v>4</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828</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830</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832</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815</v>
      </c>
      <c r="G227" s="1358"/>
      <c r="H227" s="1357" t="s">
        <v>816</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927</v>
      </c>
      <c r="C228" s="1362" t="s">
        <v>928</v>
      </c>
      <c r="D228" s="1362"/>
      <c r="E228" s="1363"/>
      <c r="F228" s="1364">
        <v>1</v>
      </c>
      <c r="G228" s="1365"/>
      <c r="H228" s="1366">
        <v>4</v>
      </c>
      <c r="I228" s="1367">
        <f>SUM(G233)</f>
        <v>4</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929</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930</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821</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822</v>
      </c>
      <c r="C233" s="1378" t="s">
        <v>823</v>
      </c>
      <c r="D233" s="1378" t="s">
        <v>824</v>
      </c>
      <c r="E233" s="1379" t="s">
        <v>825</v>
      </c>
      <c r="F233" s="1423" t="s">
        <v>826</v>
      </c>
      <c r="G233" s="1416">
        <v>4</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828</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830</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832</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815</v>
      </c>
      <c r="G239" s="1358"/>
      <c r="H239" s="1357" t="s">
        <v>816</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931</v>
      </c>
      <c r="C240" s="1362" t="s">
        <v>854</v>
      </c>
      <c r="D240" s="1362"/>
      <c r="E240" s="1363"/>
      <c r="F240" s="1364">
        <v>7</v>
      </c>
      <c r="G240" s="1365"/>
      <c r="H240" s="1366">
        <v>39</v>
      </c>
      <c r="I240" s="1367">
        <f>SUM(G245,G253,G261,G268,G276,G286,G294)</f>
        <v>35</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932</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933</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852</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822</v>
      </c>
      <c r="C245" s="1378" t="s">
        <v>823</v>
      </c>
      <c r="D245" s="1378" t="s">
        <v>824</v>
      </c>
      <c r="E245" s="1379" t="s">
        <v>825</v>
      </c>
      <c r="F245" s="1423" t="s">
        <v>826</v>
      </c>
      <c r="G245" s="1416">
        <v>9</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934</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935</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936</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937</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938</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852</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822</v>
      </c>
      <c r="C253" s="1378" t="s">
        <v>823</v>
      </c>
      <c r="D253" s="1378" t="s">
        <v>824</v>
      </c>
      <c r="E253" s="1379" t="s">
        <v>825</v>
      </c>
      <c r="F253" s="1423" t="s">
        <v>826</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939</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940</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941</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942</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943</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852</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822</v>
      </c>
      <c r="C261" s="1378" t="s">
        <v>823</v>
      </c>
      <c r="D261" s="1378" t="s">
        <v>824</v>
      </c>
      <c r="E261" s="1379" t="s">
        <v>825</v>
      </c>
      <c r="F261" s="1423" t="s">
        <v>826</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944</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945</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946</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947</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852</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822</v>
      </c>
      <c r="C268" s="1378" t="s">
        <v>823</v>
      </c>
      <c r="D268" s="1378" t="s">
        <v>824</v>
      </c>
      <c r="E268" s="1379" t="s">
        <v>825</v>
      </c>
      <c r="F268" s="1423" t="s">
        <v>826</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948</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949</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950</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951</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952</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821</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822</v>
      </c>
      <c r="C276" s="1378" t="s">
        <v>823</v>
      </c>
      <c r="D276" s="1378" t="s">
        <v>824</v>
      </c>
      <c r="E276" s="1379" t="s">
        <v>825</v>
      </c>
      <c r="F276" s="1423" t="s">
        <v>826</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953</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954</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955</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956</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957</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958</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959</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821</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822</v>
      </c>
      <c r="C286" s="1378" t="s">
        <v>823</v>
      </c>
      <c r="D286" s="1378" t="s">
        <v>824</v>
      </c>
      <c r="E286" s="1379" t="s">
        <v>825</v>
      </c>
      <c r="F286" s="1423" t="s">
        <v>826</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960</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961</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962</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963</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964</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821</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822</v>
      </c>
      <c r="C294" s="1378" t="s">
        <v>823</v>
      </c>
      <c r="D294" s="1378" t="s">
        <v>824</v>
      </c>
      <c r="E294" s="1379" t="s">
        <v>825</v>
      </c>
      <c r="F294" s="1423" t="s">
        <v>826</v>
      </c>
      <c r="G294" s="1416">
        <v>6</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965</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966</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967</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815</v>
      </c>
      <c r="G301" s="1358"/>
      <c r="H301" s="1357" t="s">
        <v>816</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968</v>
      </c>
      <c r="C302" s="1362" t="s">
        <v>818</v>
      </c>
      <c r="D302" s="1362"/>
      <c r="E302" s="1363"/>
      <c r="F302" s="1364">
        <v>1</v>
      </c>
      <c r="G302" s="1365"/>
      <c r="H302" s="1366">
        <v>10</v>
      </c>
      <c r="I302" s="1367">
        <f>SUM(G307,G315)</f>
        <v>10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969</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970</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821</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822</v>
      </c>
      <c r="C307" s="1378" t="s">
        <v>823</v>
      </c>
      <c r="D307" s="1378" t="s">
        <v>824</v>
      </c>
      <c r="E307" s="1379" t="s">
        <v>825</v>
      </c>
      <c r="F307" s="1423" t="s">
        <v>826</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828</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830</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832</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971</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972</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821</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822</v>
      </c>
      <c r="C315" s="1378" t="s">
        <v>823</v>
      </c>
      <c r="D315" s="1378" t="s">
        <v>824</v>
      </c>
      <c r="E315" s="1379" t="s">
        <v>825</v>
      </c>
      <c r="F315" s="1423" t="s">
        <v>826</v>
      </c>
      <c r="G315" s="1416">
        <v>6</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828</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830</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832</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815</v>
      </c>
      <c r="G322" s="1358"/>
      <c r="H322" s="1357" t="s">
        <v>816</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973</v>
      </c>
      <c r="C323" s="1362" t="s">
        <v>818</v>
      </c>
      <c r="D323" s="1362"/>
      <c r="E323" s="1363"/>
      <c r="F323" s="1364">
        <v>4</v>
      </c>
      <c r="G323" s="1365"/>
      <c r="H323" s="1366">
        <v>12</v>
      </c>
      <c r="I323" s="1367">
        <f>SUM(G328,G336)</f>
        <v>12</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974</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975</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821</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822</v>
      </c>
      <c r="C328" s="1378" t="s">
        <v>823</v>
      </c>
      <c r="D328" s="1378" t="s">
        <v>824</v>
      </c>
      <c r="E328" s="1379" t="s">
        <v>825</v>
      </c>
      <c r="F328" s="1423" t="s">
        <v>826</v>
      </c>
      <c r="G328" s="1416">
        <v>6</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976</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977</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978</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979</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980</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821</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822</v>
      </c>
      <c r="C336" s="1378" t="s">
        <v>823</v>
      </c>
      <c r="D336" s="1378" t="s">
        <v>824</v>
      </c>
      <c r="E336" s="1379" t="s">
        <v>825</v>
      </c>
      <c r="F336" s="1423" t="s">
        <v>826</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965</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966</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967</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815</v>
      </c>
      <c r="G343" s="1358"/>
      <c r="H343" s="1357" t="s">
        <v>816</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981</v>
      </c>
      <c r="C344" s="1362" t="s">
        <v>982</v>
      </c>
      <c r="D344" s="1362"/>
      <c r="E344" s="1363"/>
      <c r="F344" s="1364">
        <f>+E350+E359+E368+E376+E382</f>
        <v>8</v>
      </c>
      <c r="G344" s="1365"/>
      <c r="H344" s="1366">
        <v>27</v>
      </c>
      <c r="I344" s="1367">
        <f>SUM(G349,G357,G366,G374,G381)</f>
        <v>15</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983</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984</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985</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821</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822</v>
      </c>
      <c r="C349" s="1378" t="s">
        <v>823</v>
      </c>
      <c r="D349" s="1378" t="s">
        <v>824</v>
      </c>
      <c r="E349" s="1379" t="s">
        <v>825</v>
      </c>
      <c r="F349" s="1423" t="s">
        <v>826</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828</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986</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987</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988</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989</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821</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822</v>
      </c>
      <c r="C357" s="1428" t="s">
        <v>823</v>
      </c>
      <c r="D357" s="1428" t="s">
        <v>824</v>
      </c>
      <c r="E357" s="1429" t="s">
        <v>825</v>
      </c>
      <c r="F357" s="1423" t="s">
        <v>826</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990</v>
      </c>
      <c r="C358" s="1457" t="s">
        <v>858</v>
      </c>
      <c r="D358" s="1458"/>
      <c r="E358" s="1459" t="s">
        <v>803</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991</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992</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993</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994</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995</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821</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822</v>
      </c>
      <c r="C366" s="1466" t="s">
        <v>823</v>
      </c>
      <c r="D366" s="1466" t="s">
        <v>824</v>
      </c>
      <c r="E366" s="1467" t="s">
        <v>825</v>
      </c>
      <c r="F366" s="1423" t="s">
        <v>826</v>
      </c>
      <c r="G366" s="1416">
        <v>3</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996</v>
      </c>
      <c r="C367" s="1469" t="s">
        <v>858</v>
      </c>
      <c r="D367" s="1469"/>
      <c r="E367" s="1470" t="s">
        <v>803</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997</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998</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999</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1000</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821</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822</v>
      </c>
      <c r="C374" s="1466" t="s">
        <v>823</v>
      </c>
      <c r="D374" s="1466" t="s">
        <v>824</v>
      </c>
      <c r="E374" s="1467" t="s">
        <v>825</v>
      </c>
      <c r="F374" s="1423" t="s">
        <v>826</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857</v>
      </c>
      <c r="C375" s="1469" t="s">
        <v>858</v>
      </c>
      <c r="D375" s="1469"/>
      <c r="E375" s="1470" t="s">
        <v>803</v>
      </c>
      <c r="F375" s="1424"/>
      <c r="G375" s="1417"/>
      <c r="H375" s="1417"/>
      <c r="I375" s="1418"/>
    </row>
    <row r="376" spans="1:79" ht="25.5" thickBot="1">
      <c r="B376" s="1404" t="s">
        <v>859</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1001</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1002</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821</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822</v>
      </c>
      <c r="C381" s="1474" t="s">
        <v>823</v>
      </c>
      <c r="D381" s="1474" t="s">
        <v>824</v>
      </c>
      <c r="E381" s="1475" t="s">
        <v>825</v>
      </c>
      <c r="F381" s="1423" t="s">
        <v>826</v>
      </c>
      <c r="G381" s="1416">
        <v>4</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828</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830</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832</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86FFF26A-37CD-4F2D-B193-F30475C5277E}">
      <formula1>60</formula1>
      <formula2>200</formula2>
    </dataValidation>
    <dataValidation type="list" allowBlank="1" showInputMessage="1" showErrorMessage="1" sqref="D16:I16" xr:uid="{0C8215D6-C787-48F8-B70A-9D7E6BE36FDA}">
      <formula1>$O$33:$O$36</formula1>
    </dataValidation>
    <dataValidation type="list" allowBlank="1" showInputMessage="1" showErrorMessage="1" sqref="J12:J15 D15:I15 D13:I13 O22:T22" xr:uid="{EC6EB67D-B09E-45F6-87BF-A8155BDF4D6B}">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C9613362-7CA8-4B43-AF98-DABBACC9F24E}">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E215A01D-7B71-4FC3-A4A5-57D217E3F535}">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C965DDF9-0F1A-4B6D-A27B-6DC9EA3CE9E7}">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8A42ABD6-1409-41F9-8E10-29B7564503B1}">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140DC-2E9A-4A30-80D9-9A7D637BC1B6}">
  <sheetPr>
    <tabColor rgb="FF92D050"/>
  </sheetPr>
  <dimension ref="A1:CA388"/>
  <sheetViews>
    <sheetView topLeftCell="A4" zoomScale="70" zoomScaleNormal="70" workbookViewId="0">
      <selection activeCell="C8" sqref="C8:I8"/>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771</v>
      </c>
      <c r="C2" s="1211"/>
      <c r="D2" s="1211"/>
      <c r="E2" s="1211"/>
      <c r="F2" s="1211"/>
      <c r="G2" s="1211"/>
      <c r="H2" s="1211"/>
      <c r="I2" s="1212"/>
      <c r="L2" s="1213" t="s">
        <v>772</v>
      </c>
      <c r="M2" s="1214"/>
      <c r="N2" s="1214"/>
      <c r="O2" s="1215"/>
      <c r="P2" s="1215"/>
      <c r="Q2" s="1215"/>
      <c r="R2" s="1215"/>
      <c r="S2" s="1215"/>
      <c r="T2" s="1216"/>
      <c r="U2" s="1208" t="s">
        <v>773</v>
      </c>
    </row>
    <row r="3" spans="2:79" ht="45" customHeight="1" thickBot="1">
      <c r="B3" s="1217"/>
      <c r="C3" s="1218" t="s">
        <v>1003</v>
      </c>
      <c r="D3" s="1211"/>
      <c r="E3" s="1212"/>
      <c r="F3" s="1219"/>
      <c r="G3" s="1220"/>
      <c r="H3" s="1220"/>
      <c r="I3" s="1220"/>
      <c r="L3" s="1221" t="s">
        <v>775</v>
      </c>
      <c r="M3" s="1222" t="s">
        <v>776</v>
      </c>
      <c r="N3" s="1223" t="s">
        <v>777</v>
      </c>
      <c r="O3" s="1221" t="s">
        <v>775</v>
      </c>
      <c r="P3" s="1222" t="s">
        <v>776</v>
      </c>
      <c r="Q3" s="1223" t="s">
        <v>777</v>
      </c>
      <c r="R3" s="1221" t="s">
        <v>775</v>
      </c>
      <c r="S3" s="1222" t="s">
        <v>776</v>
      </c>
      <c r="T3" s="1223" t="s">
        <v>777</v>
      </c>
    </row>
    <row r="4" spans="2:79" ht="51.6" customHeight="1" thickBot="1">
      <c r="F4" s="1207"/>
      <c r="G4" s="1207"/>
      <c r="H4" s="1207"/>
      <c r="L4" s="1224" t="s">
        <v>778</v>
      </c>
      <c r="M4" s="1225">
        <v>8</v>
      </c>
      <c r="N4" s="1226">
        <f>I28</f>
        <v>0</v>
      </c>
      <c r="O4" s="1227" t="s">
        <v>779</v>
      </c>
      <c r="P4" s="1228">
        <v>25</v>
      </c>
      <c r="Q4" s="1229">
        <f>I172</f>
        <v>0</v>
      </c>
      <c r="R4" s="1230" t="s">
        <v>780</v>
      </c>
      <c r="S4" s="1231">
        <v>39</v>
      </c>
      <c r="T4" s="1232">
        <f>I240</f>
        <v>0</v>
      </c>
    </row>
    <row r="5" spans="2:79" ht="54.6" customHeight="1">
      <c r="B5" s="1233" t="s">
        <v>781</v>
      </c>
      <c r="C5" s="1234" t="str">
        <f>[1]A.Pontozás_1.értékelő!C5</f>
        <v>Farkas Sándor Mihály</v>
      </c>
      <c r="D5" s="1235"/>
      <c r="E5" s="1235"/>
      <c r="F5" s="1235"/>
      <c r="G5" s="1235"/>
      <c r="H5" s="1235"/>
      <c r="I5" s="1236"/>
      <c r="L5" s="1237" t="s">
        <v>782</v>
      </c>
      <c r="M5" s="1238">
        <v>17</v>
      </c>
      <c r="N5" s="1239">
        <f>I48</f>
        <v>0</v>
      </c>
      <c r="O5" s="1240" t="s">
        <v>783</v>
      </c>
      <c r="P5" s="1241">
        <v>4</v>
      </c>
      <c r="Q5" s="1242">
        <f>I228</f>
        <v>0</v>
      </c>
      <c r="R5" s="1243" t="s">
        <v>784</v>
      </c>
      <c r="S5" s="1244">
        <v>10</v>
      </c>
      <c r="T5" s="1245">
        <f>I302</f>
        <v>0</v>
      </c>
    </row>
    <row r="6" spans="2:79" ht="54.6" customHeight="1">
      <c r="B6" s="1246" t="s">
        <v>785</v>
      </c>
      <c r="C6" s="1247">
        <f>[1]A.Pontozás_1.értékelő!C6</f>
        <v>34576</v>
      </c>
      <c r="D6" s="1248"/>
      <c r="E6" s="1248"/>
      <c r="F6" s="1248"/>
      <c r="G6" s="1248"/>
      <c r="H6" s="1248"/>
      <c r="I6" s="1249"/>
      <c r="L6" s="1237" t="s">
        <v>786</v>
      </c>
      <c r="M6" s="1238">
        <v>40</v>
      </c>
      <c r="N6" s="1250">
        <f>I84</f>
        <v>0</v>
      </c>
      <c r="O6" s="1240" t="s">
        <v>787</v>
      </c>
      <c r="P6" s="1251">
        <v>27</v>
      </c>
      <c r="Q6" s="1242">
        <f>I344</f>
        <v>0</v>
      </c>
      <c r="R6" s="1243" t="s">
        <v>788</v>
      </c>
      <c r="S6" s="1244">
        <v>12</v>
      </c>
      <c r="T6" s="1245">
        <f>I323</f>
        <v>0</v>
      </c>
      <c r="Y6" s="1208"/>
      <c r="AC6" s="1252"/>
    </row>
    <row r="7" spans="2:79" ht="54.6" customHeight="1" thickBot="1">
      <c r="B7" s="1246" t="s">
        <v>789</v>
      </c>
      <c r="C7" s="1253" t="str">
        <f>[1]A.Pontozás_1.értékelő!C7</f>
        <v>fssandor94@gmail.com</v>
      </c>
      <c r="D7" s="1248"/>
      <c r="E7" s="1248"/>
      <c r="F7" s="1248"/>
      <c r="G7" s="1248"/>
      <c r="H7" s="1248"/>
      <c r="I7" s="1249"/>
      <c r="J7" s="1254"/>
      <c r="K7" s="1254"/>
      <c r="L7" s="1255" t="s">
        <v>790</v>
      </c>
      <c r="M7" s="1256">
        <v>18</v>
      </c>
      <c r="N7" s="1257">
        <f>I142</f>
        <v>0</v>
      </c>
      <c r="O7" s="1258"/>
      <c r="P7" s="1259"/>
      <c r="Q7" s="1260"/>
      <c r="R7" s="1261"/>
      <c r="S7" s="1262"/>
      <c r="T7" s="1263"/>
    </row>
    <row r="8" spans="2:79" ht="54.6" customHeight="1">
      <c r="B8" s="1246" t="s">
        <v>791</v>
      </c>
      <c r="C8" s="1264"/>
      <c r="D8" s="1265"/>
      <c r="E8" s="1265"/>
      <c r="F8" s="1265"/>
      <c r="G8" s="1265"/>
      <c r="H8" s="1265"/>
      <c r="I8" s="1266"/>
      <c r="J8" s="1254"/>
      <c r="K8" s="1254"/>
      <c r="L8" s="1267" t="s">
        <v>793</v>
      </c>
      <c r="M8" s="1268">
        <f>SUM(M4:M7)</f>
        <v>83</v>
      </c>
      <c r="N8" s="1269"/>
      <c r="O8" s="1270" t="s">
        <v>793</v>
      </c>
      <c r="P8" s="1271">
        <f>SUM(P4:P7)</f>
        <v>56</v>
      </c>
      <c r="Q8" s="1272"/>
      <c r="R8" s="1273" t="s">
        <v>794</v>
      </c>
      <c r="S8" s="1274">
        <f>SUM(S4:S7)</f>
        <v>61</v>
      </c>
      <c r="T8" s="1275"/>
    </row>
    <row r="9" spans="2:79" ht="54.6" customHeight="1" thickBot="1">
      <c r="B9" s="1276" t="s">
        <v>795</v>
      </c>
      <c r="C9" s="1277"/>
      <c r="D9" s="1278"/>
      <c r="E9" s="1278"/>
      <c r="F9" s="1278"/>
      <c r="G9" s="1278"/>
      <c r="H9" s="1278"/>
      <c r="I9" s="1279"/>
      <c r="L9" s="1280" t="s">
        <v>797</v>
      </c>
      <c r="M9" s="1281">
        <f>ROUND(M8*0.3,0)</f>
        <v>25</v>
      </c>
      <c r="N9" s="1239"/>
      <c r="O9" s="1282" t="s">
        <v>798</v>
      </c>
      <c r="P9" s="1283">
        <f>ROUND(P8*0.3,0)</f>
        <v>17</v>
      </c>
      <c r="Q9" s="1284"/>
      <c r="R9" s="1285" t="s">
        <v>799</v>
      </c>
      <c r="S9" s="1286">
        <f>ROUND(S8*0.3,0)</f>
        <v>18</v>
      </c>
      <c r="T9" s="1287"/>
      <c r="U9" s="1288"/>
      <c r="V9" s="1289"/>
      <c r="W9" s="1288"/>
      <c r="AD9" s="1288"/>
      <c r="AK9" s="1288"/>
      <c r="AY9" s="1288"/>
      <c r="BT9" s="1288"/>
    </row>
    <row r="10" spans="2:79" ht="54.6" customHeight="1" thickBot="1">
      <c r="B10" s="1276" t="s">
        <v>800</v>
      </c>
      <c r="C10" s="1290"/>
      <c r="D10" s="1291"/>
      <c r="E10" s="1291"/>
      <c r="F10" s="1291"/>
      <c r="G10" s="1291"/>
      <c r="H10" s="1291"/>
      <c r="I10" s="1292"/>
      <c r="L10" s="1293" t="s">
        <v>801</v>
      </c>
      <c r="M10" s="1294"/>
      <c r="N10" s="1295">
        <f>SUM(N4:N9)</f>
        <v>0</v>
      </c>
      <c r="O10" s="1296"/>
      <c r="P10" s="1297"/>
      <c r="Q10" s="1298">
        <f>SUM(Q4:Q9)</f>
        <v>0</v>
      </c>
      <c r="R10" s="1299"/>
      <c r="S10" s="1300"/>
      <c r="T10" s="1301">
        <f>SUM(T4:T9)</f>
        <v>0</v>
      </c>
      <c r="U10" s="1302"/>
    </row>
    <row r="11" spans="2:79" ht="36.950000000000003" customHeight="1" thickBot="1">
      <c r="L11" s="1303" t="s">
        <v>802</v>
      </c>
      <c r="M11" s="1304" t="s">
        <v>803</v>
      </c>
      <c r="N11" s="1295" t="str">
        <f>IF(N10&lt;M9,"KO","OK")</f>
        <v>KO</v>
      </c>
      <c r="O11" s="1296"/>
      <c r="P11" s="1298"/>
      <c r="Q11" s="1298" t="str">
        <f>IF(Q10&lt;P9,"KO","OK")</f>
        <v>KO</v>
      </c>
      <c r="R11" s="1299"/>
      <c r="S11" s="1305"/>
      <c r="T11" s="1301" t="str">
        <f>IF(T10&lt;S9,"KO","OK")</f>
        <v>KO</v>
      </c>
    </row>
    <row r="12" spans="2:79" ht="64.5" customHeight="1" thickBot="1">
      <c r="B12" s="1306" t="s">
        <v>804</v>
      </c>
      <c r="C12" s="1307"/>
      <c r="D12" s="1308"/>
      <c r="E12" s="1309" t="str">
        <f>IF(OR(M12=$M$11,M16=$M$11),"ÜT elutasítás","   ")</f>
        <v>ÜT elutasítás</v>
      </c>
      <c r="F12" s="1309"/>
      <c r="G12" s="1310"/>
      <c r="H12" s="1311" t="str">
        <f>IF(OR(M12=$M$11,M16=$M$11)," ",I24)</f>
        <v xml:space="preserve"> </v>
      </c>
      <c r="I12" s="1312"/>
      <c r="J12" s="1254"/>
      <c r="K12" s="1254"/>
      <c r="L12" s="1313" t="s">
        <v>805</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806</v>
      </c>
      <c r="C14" s="1319"/>
      <c r="D14" s="1319"/>
      <c r="E14" s="1319"/>
      <c r="F14" s="1319"/>
      <c r="G14" s="1320"/>
      <c r="H14" s="1321">
        <v>60</v>
      </c>
      <c r="I14" s="1322"/>
      <c r="J14" s="1254"/>
      <c r="K14" s="1254"/>
      <c r="L14" s="1323" t="s">
        <v>807</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808</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809</v>
      </c>
      <c r="C18" s="1329">
        <v>200</v>
      </c>
      <c r="D18" s="1330" t="s">
        <v>810</v>
      </c>
      <c r="E18" s="1331" t="s">
        <v>803</v>
      </c>
      <c r="F18" s="1332">
        <v>1</v>
      </c>
      <c r="G18" s="1332">
        <v>2</v>
      </c>
      <c r="H18" s="1332">
        <v>3</v>
      </c>
      <c r="I18" s="1333" t="s">
        <v>103</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811</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812</v>
      </c>
      <c r="C20" s="1341">
        <v>60</v>
      </c>
      <c r="D20" s="1342" t="s">
        <v>813</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814</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815</v>
      </c>
      <c r="G27" s="1358"/>
      <c r="H27" s="1357" t="s">
        <v>816</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817</v>
      </c>
      <c r="C28" s="1362" t="s">
        <v>818</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819</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820</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821</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822</v>
      </c>
      <c r="C33" s="1378" t="s">
        <v>823</v>
      </c>
      <c r="D33" s="1378" t="s">
        <v>824</v>
      </c>
      <c r="E33" s="1379" t="s">
        <v>825</v>
      </c>
      <c r="F33" s="1380" t="s">
        <v>826</v>
      </c>
      <c r="G33" s="1381"/>
      <c r="H33" s="1372"/>
      <c r="I33" s="1254"/>
      <c r="J33" s="1254"/>
      <c r="K33" s="1254"/>
      <c r="L33" s="1382"/>
      <c r="M33" s="1383"/>
      <c r="N33" s="1384"/>
      <c r="O33" s="1385" t="s">
        <v>827</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828</v>
      </c>
      <c r="C34" s="1389">
        <v>0</v>
      </c>
      <c r="D34" s="1390">
        <v>3</v>
      </c>
      <c r="E34" s="1391">
        <v>0</v>
      </c>
      <c r="F34" s="1392"/>
      <c r="G34" s="1393"/>
      <c r="H34" s="1393"/>
      <c r="I34" s="1394"/>
      <c r="J34" s="1254"/>
      <c r="K34" s="1254"/>
      <c r="L34" s="1395"/>
      <c r="M34" s="1396"/>
      <c r="N34" s="1397"/>
      <c r="O34" s="1385" t="s">
        <v>829</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830</v>
      </c>
      <c r="C35" s="1399">
        <v>1</v>
      </c>
      <c r="D35" s="1400">
        <v>3</v>
      </c>
      <c r="E35" s="1401">
        <v>3</v>
      </c>
      <c r="F35" s="1392"/>
      <c r="G35" s="1402"/>
      <c r="H35" s="1402"/>
      <c r="I35" s="1403"/>
      <c r="J35" s="1254"/>
      <c r="K35" s="1254"/>
      <c r="L35" s="1395"/>
      <c r="M35" s="1396"/>
      <c r="N35" s="1397"/>
      <c r="O35" s="1385" t="s">
        <v>831</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832</v>
      </c>
      <c r="C36" s="1405">
        <v>2</v>
      </c>
      <c r="D36" s="1406">
        <v>3</v>
      </c>
      <c r="E36" s="1407">
        <v>6</v>
      </c>
      <c r="F36" s="1408"/>
      <c r="G36" s="1409"/>
      <c r="H36" s="1409"/>
      <c r="I36" s="1410"/>
      <c r="J36" s="1254"/>
      <c r="K36" s="1254"/>
      <c r="L36" s="1411"/>
      <c r="M36" s="1412"/>
      <c r="N36" s="1413"/>
      <c r="O36" s="1385" t="s">
        <v>833</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834</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835</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821</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822</v>
      </c>
      <c r="C41" s="1378" t="s">
        <v>823</v>
      </c>
      <c r="D41" s="1378" t="s">
        <v>824</v>
      </c>
      <c r="E41" s="1379" t="s">
        <v>825</v>
      </c>
      <c r="F41" s="1380" t="s">
        <v>826</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828</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830</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832</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815</v>
      </c>
      <c r="G47" s="1358"/>
      <c r="H47" s="1357" t="s">
        <v>816</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836</v>
      </c>
      <c r="C48" s="1362" t="s">
        <v>837</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838</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839</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821</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822</v>
      </c>
      <c r="C53" s="1378" t="s">
        <v>823</v>
      </c>
      <c r="D53" s="1378" t="s">
        <v>824</v>
      </c>
      <c r="E53" s="1379" t="s">
        <v>825</v>
      </c>
      <c r="F53" s="1423" t="s">
        <v>826</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840</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841</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842</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843</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844</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821</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822</v>
      </c>
      <c r="C61" s="1378" t="s">
        <v>823</v>
      </c>
      <c r="D61" s="1378" t="s">
        <v>824</v>
      </c>
      <c r="E61" s="1379" t="s">
        <v>825</v>
      </c>
      <c r="F61" s="1423" t="s">
        <v>826</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845</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846</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847</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848</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849</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821</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822</v>
      </c>
      <c r="C69" s="1378" t="s">
        <v>823</v>
      </c>
      <c r="D69" s="1378" t="s">
        <v>824</v>
      </c>
      <c r="E69" s="1379" t="s">
        <v>825</v>
      </c>
      <c r="F69" s="1423" t="s">
        <v>826</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828</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830</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832</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850</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851</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852</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822</v>
      </c>
      <c r="C77" s="1378" t="s">
        <v>823</v>
      </c>
      <c r="D77" s="1378" t="s">
        <v>824</v>
      </c>
      <c r="E77" s="1379" t="s">
        <v>825</v>
      </c>
      <c r="F77" s="1423" t="s">
        <v>826</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828</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830</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832</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815</v>
      </c>
      <c r="G83" s="1358"/>
      <c r="H83" s="1357" t="s">
        <v>816</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853</v>
      </c>
      <c r="C84" s="1362" t="s">
        <v>854</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855</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856</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852</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822</v>
      </c>
      <c r="C89" s="1428" t="s">
        <v>823</v>
      </c>
      <c r="D89" s="1428" t="s">
        <v>824</v>
      </c>
      <c r="E89" s="1429" t="s">
        <v>825</v>
      </c>
      <c r="F89" s="1423" t="s">
        <v>826</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857</v>
      </c>
      <c r="C90" s="1430" t="s">
        <v>858</v>
      </c>
      <c r="D90" s="1431"/>
      <c r="E90" s="1432" t="s">
        <v>803</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859</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860</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861</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852</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822</v>
      </c>
      <c r="C96" s="1428" t="s">
        <v>823</v>
      </c>
      <c r="D96" s="1428" t="s">
        <v>824</v>
      </c>
      <c r="E96" s="1429" t="s">
        <v>825</v>
      </c>
      <c r="F96" s="1423" t="s">
        <v>826</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857</v>
      </c>
      <c r="C97" s="1430" t="s">
        <v>858</v>
      </c>
      <c r="D97" s="1431"/>
      <c r="E97" s="1432" t="s">
        <v>803</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859</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862</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863</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852</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822</v>
      </c>
      <c r="C103" s="1378" t="s">
        <v>823</v>
      </c>
      <c r="D103" s="1378" t="s">
        <v>824</v>
      </c>
      <c r="E103" s="1379" t="s">
        <v>825</v>
      </c>
      <c r="F103" s="1423" t="s">
        <v>826</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864</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865</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866</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867</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868</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852</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822</v>
      </c>
      <c r="C111" s="1428" t="s">
        <v>823</v>
      </c>
      <c r="D111" s="1428" t="s">
        <v>824</v>
      </c>
      <c r="E111" s="1429" t="s">
        <v>825</v>
      </c>
      <c r="F111" s="1423" t="s">
        <v>826</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857</v>
      </c>
      <c r="C112" s="1430" t="s">
        <v>858</v>
      </c>
      <c r="D112" s="1431"/>
      <c r="E112" s="1432" t="s">
        <v>803</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859</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869</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870</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821</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822</v>
      </c>
      <c r="C118" s="1437" t="s">
        <v>823</v>
      </c>
      <c r="D118" s="1438" t="s">
        <v>824</v>
      </c>
      <c r="E118" s="1439" t="s">
        <v>825</v>
      </c>
      <c r="F118" s="1423" t="s">
        <v>826</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871</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872</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873</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874</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875</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821</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822</v>
      </c>
      <c r="C126" s="1437" t="s">
        <v>823</v>
      </c>
      <c r="D126" s="1438" t="s">
        <v>824</v>
      </c>
      <c r="E126" s="1439" t="s">
        <v>825</v>
      </c>
      <c r="F126" s="1423" t="s">
        <v>826</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828</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876</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877</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878</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879</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821</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822</v>
      </c>
      <c r="C134" s="1437" t="s">
        <v>823</v>
      </c>
      <c r="D134" s="1438" t="s">
        <v>824</v>
      </c>
      <c r="E134" s="1439" t="s">
        <v>825</v>
      </c>
      <c r="F134" s="1423" t="s">
        <v>826</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880</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881</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882</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815</v>
      </c>
      <c r="G141" s="1358"/>
      <c r="H141" s="1357" t="s">
        <v>816</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883</v>
      </c>
      <c r="C142" s="1362" t="s">
        <v>884</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885</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886</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821</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822</v>
      </c>
      <c r="C147" s="1378" t="s">
        <v>823</v>
      </c>
      <c r="D147" s="1378" t="s">
        <v>824</v>
      </c>
      <c r="E147" s="1379" t="s">
        <v>825</v>
      </c>
      <c r="F147" s="1423" t="s">
        <v>826</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887</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888</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889</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890</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891</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821</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822</v>
      </c>
      <c r="C155" s="1378" t="s">
        <v>823</v>
      </c>
      <c r="D155" s="1378" t="s">
        <v>824</v>
      </c>
      <c r="E155" s="1379" t="s">
        <v>825</v>
      </c>
      <c r="F155" s="1423" t="s">
        <v>826</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892</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893</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894</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895</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896</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821</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822</v>
      </c>
      <c r="C163" s="1378" t="s">
        <v>823</v>
      </c>
      <c r="D163" s="1378" t="s">
        <v>824</v>
      </c>
      <c r="E163" s="1379" t="s">
        <v>825</v>
      </c>
      <c r="F163" s="1423" t="s">
        <v>826</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897</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898</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899</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815</v>
      </c>
      <c r="G171" s="1358"/>
      <c r="H171" s="1357" t="s">
        <v>816</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900</v>
      </c>
      <c r="C172" s="1362" t="s">
        <v>901</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902</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903</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821</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822</v>
      </c>
      <c r="C177" s="1378" t="s">
        <v>823</v>
      </c>
      <c r="D177" s="1378" t="s">
        <v>824</v>
      </c>
      <c r="E177" s="1379" t="s">
        <v>825</v>
      </c>
      <c r="F177" s="1423" t="s">
        <v>826</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828</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830</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832</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904</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905</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821</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822</v>
      </c>
      <c r="C185" s="1378" t="s">
        <v>823</v>
      </c>
      <c r="D185" s="1378" t="s">
        <v>824</v>
      </c>
      <c r="E185" s="1379" t="s">
        <v>825</v>
      </c>
      <c r="F185" s="1423" t="s">
        <v>826</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828</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830</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832</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906</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907</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821</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822</v>
      </c>
      <c r="C193" s="1378" t="s">
        <v>823</v>
      </c>
      <c r="D193" s="1378" t="s">
        <v>824</v>
      </c>
      <c r="E193" s="1379" t="s">
        <v>825</v>
      </c>
      <c r="F193" s="1423" t="s">
        <v>826</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908</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909</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910</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911</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912</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821</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822</v>
      </c>
      <c r="C201" s="1378" t="s">
        <v>823</v>
      </c>
      <c r="D201" s="1378" t="s">
        <v>824</v>
      </c>
      <c r="E201" s="1379" t="s">
        <v>825</v>
      </c>
      <c r="F201" s="1423" t="s">
        <v>826</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913</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914</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915</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916</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917</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918</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919</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821</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822</v>
      </c>
      <c r="C211" s="1378" t="s">
        <v>823</v>
      </c>
      <c r="D211" s="1378" t="s">
        <v>824</v>
      </c>
      <c r="E211" s="1379" t="s">
        <v>825</v>
      </c>
      <c r="F211" s="1423" t="s">
        <v>826</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920</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921</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922</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923</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924</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925</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926</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822</v>
      </c>
      <c r="C220" s="1378" t="s">
        <v>823</v>
      </c>
      <c r="D220" s="1378" t="s">
        <v>824</v>
      </c>
      <c r="E220" s="1379" t="s">
        <v>825</v>
      </c>
      <c r="F220" s="1423" t="s">
        <v>826</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828</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830</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832</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815</v>
      </c>
      <c r="G227" s="1358"/>
      <c r="H227" s="1357" t="s">
        <v>816</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927</v>
      </c>
      <c r="C228" s="1362" t="s">
        <v>928</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929</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930</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821</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822</v>
      </c>
      <c r="C233" s="1378" t="s">
        <v>823</v>
      </c>
      <c r="D233" s="1378" t="s">
        <v>824</v>
      </c>
      <c r="E233" s="1379" t="s">
        <v>825</v>
      </c>
      <c r="F233" s="1423" t="s">
        <v>826</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828</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830</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832</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815</v>
      </c>
      <c r="G239" s="1358"/>
      <c r="H239" s="1357" t="s">
        <v>816</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931</v>
      </c>
      <c r="C240" s="1362" t="s">
        <v>854</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932</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933</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852</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822</v>
      </c>
      <c r="C245" s="1378" t="s">
        <v>823</v>
      </c>
      <c r="D245" s="1378" t="s">
        <v>824</v>
      </c>
      <c r="E245" s="1379" t="s">
        <v>825</v>
      </c>
      <c r="F245" s="1423" t="s">
        <v>826</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934</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935</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936</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937</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938</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852</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822</v>
      </c>
      <c r="C253" s="1378" t="s">
        <v>823</v>
      </c>
      <c r="D253" s="1378" t="s">
        <v>824</v>
      </c>
      <c r="E253" s="1379" t="s">
        <v>825</v>
      </c>
      <c r="F253" s="1423" t="s">
        <v>826</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939</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940</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941</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942</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943</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852</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822</v>
      </c>
      <c r="C261" s="1378" t="s">
        <v>823</v>
      </c>
      <c r="D261" s="1378" t="s">
        <v>824</v>
      </c>
      <c r="E261" s="1379" t="s">
        <v>825</v>
      </c>
      <c r="F261" s="1423" t="s">
        <v>826</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944</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945</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946</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947</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852</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822</v>
      </c>
      <c r="C268" s="1378" t="s">
        <v>823</v>
      </c>
      <c r="D268" s="1378" t="s">
        <v>824</v>
      </c>
      <c r="E268" s="1379" t="s">
        <v>825</v>
      </c>
      <c r="F268" s="1423" t="s">
        <v>826</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948</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949</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950</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951</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952</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821</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822</v>
      </c>
      <c r="C276" s="1378" t="s">
        <v>823</v>
      </c>
      <c r="D276" s="1378" t="s">
        <v>824</v>
      </c>
      <c r="E276" s="1379" t="s">
        <v>825</v>
      </c>
      <c r="F276" s="1423" t="s">
        <v>826</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953</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954</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955</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956</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957</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958</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959</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821</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822</v>
      </c>
      <c r="C286" s="1378" t="s">
        <v>823</v>
      </c>
      <c r="D286" s="1378" t="s">
        <v>824</v>
      </c>
      <c r="E286" s="1379" t="s">
        <v>825</v>
      </c>
      <c r="F286" s="1423" t="s">
        <v>826</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960</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961</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962</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963</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964</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821</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822</v>
      </c>
      <c r="C294" s="1378" t="s">
        <v>823</v>
      </c>
      <c r="D294" s="1378" t="s">
        <v>824</v>
      </c>
      <c r="E294" s="1379" t="s">
        <v>825</v>
      </c>
      <c r="F294" s="1423" t="s">
        <v>826</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965</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966</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967</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815</v>
      </c>
      <c r="G301" s="1358"/>
      <c r="H301" s="1357" t="s">
        <v>816</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968</v>
      </c>
      <c r="C302" s="1362" t="s">
        <v>818</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969</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970</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821</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822</v>
      </c>
      <c r="C307" s="1378" t="s">
        <v>823</v>
      </c>
      <c r="D307" s="1378" t="s">
        <v>824</v>
      </c>
      <c r="E307" s="1379" t="s">
        <v>825</v>
      </c>
      <c r="F307" s="1423" t="s">
        <v>826</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828</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830</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832</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971</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972</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821</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822</v>
      </c>
      <c r="C315" s="1378" t="s">
        <v>823</v>
      </c>
      <c r="D315" s="1378" t="s">
        <v>824</v>
      </c>
      <c r="E315" s="1379" t="s">
        <v>825</v>
      </c>
      <c r="F315" s="1423" t="s">
        <v>826</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828</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830</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832</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815</v>
      </c>
      <c r="G322" s="1358"/>
      <c r="H322" s="1357" t="s">
        <v>816</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973</v>
      </c>
      <c r="C323" s="1362" t="s">
        <v>818</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974</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975</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821</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822</v>
      </c>
      <c r="C328" s="1378" t="s">
        <v>823</v>
      </c>
      <c r="D328" s="1378" t="s">
        <v>824</v>
      </c>
      <c r="E328" s="1379" t="s">
        <v>825</v>
      </c>
      <c r="F328" s="1423" t="s">
        <v>826</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976</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977</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978</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979</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980</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821</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822</v>
      </c>
      <c r="C336" s="1378" t="s">
        <v>823</v>
      </c>
      <c r="D336" s="1378" t="s">
        <v>824</v>
      </c>
      <c r="E336" s="1379" t="s">
        <v>825</v>
      </c>
      <c r="F336" s="1423" t="s">
        <v>826</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965</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966</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967</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815</v>
      </c>
      <c r="G343" s="1358"/>
      <c r="H343" s="1357" t="s">
        <v>816</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981</v>
      </c>
      <c r="C344" s="1362" t="s">
        <v>982</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983</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984</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985</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821</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822</v>
      </c>
      <c r="C349" s="1378" t="s">
        <v>823</v>
      </c>
      <c r="D349" s="1378" t="s">
        <v>824</v>
      </c>
      <c r="E349" s="1379" t="s">
        <v>825</v>
      </c>
      <c r="F349" s="1423" t="s">
        <v>826</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828</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986</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987</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988</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989</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821</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822</v>
      </c>
      <c r="C357" s="1428" t="s">
        <v>823</v>
      </c>
      <c r="D357" s="1428" t="s">
        <v>824</v>
      </c>
      <c r="E357" s="1429" t="s">
        <v>825</v>
      </c>
      <c r="F357" s="1423" t="s">
        <v>826</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990</v>
      </c>
      <c r="C358" s="1457" t="s">
        <v>858</v>
      </c>
      <c r="D358" s="1458"/>
      <c r="E358" s="1459" t="s">
        <v>803</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991</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992</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993</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994</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995</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821</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822</v>
      </c>
      <c r="C366" s="1466" t="s">
        <v>823</v>
      </c>
      <c r="D366" s="1466" t="s">
        <v>824</v>
      </c>
      <c r="E366" s="1467" t="s">
        <v>825</v>
      </c>
      <c r="F366" s="1423" t="s">
        <v>826</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996</v>
      </c>
      <c r="C367" s="1469" t="s">
        <v>858</v>
      </c>
      <c r="D367" s="1469"/>
      <c r="E367" s="1470" t="s">
        <v>803</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997</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998</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999</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1000</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821</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822</v>
      </c>
      <c r="C374" s="1466" t="s">
        <v>823</v>
      </c>
      <c r="D374" s="1466" t="s">
        <v>824</v>
      </c>
      <c r="E374" s="1467" t="s">
        <v>825</v>
      </c>
      <c r="F374" s="1423" t="s">
        <v>826</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857</v>
      </c>
      <c r="C375" s="1469" t="s">
        <v>858</v>
      </c>
      <c r="D375" s="1469"/>
      <c r="E375" s="1470" t="s">
        <v>803</v>
      </c>
      <c r="F375" s="1424"/>
      <c r="G375" s="1417"/>
      <c r="H375" s="1417"/>
      <c r="I375" s="1418"/>
    </row>
    <row r="376" spans="1:79" ht="25.5" thickBot="1">
      <c r="B376" s="1404" t="s">
        <v>859</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1001</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1002</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821</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822</v>
      </c>
      <c r="C381" s="1474" t="s">
        <v>823</v>
      </c>
      <c r="D381" s="1474" t="s">
        <v>824</v>
      </c>
      <c r="E381" s="1475" t="s">
        <v>825</v>
      </c>
      <c r="F381" s="1423" t="s">
        <v>826</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828</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830</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832</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A3E2E25C-021A-4727-8993-9E371D467468}">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1B7FF921-326F-4083-BA82-D2A390755F9D}">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7996715D-CBD0-494D-A155-1EE99105390D}">
      <formula1>E202:E206</formula1>
    </dataValidation>
    <dataValidation type="list" allowBlank="1" showInputMessage="1" showErrorMessage="1" sqref="J12:J15 D15:I15 D13:I13 O22:T22" xr:uid="{56CA581B-1807-42C3-B07A-316CD52E2962}">
      <formula1>$O$33:$O$35</formula1>
    </dataValidation>
    <dataValidation type="list" allowBlank="1" showInputMessage="1" showErrorMessage="1" sqref="D16:I16" xr:uid="{43E9139B-8009-4FE4-9BDA-B1E6315D51D4}">
      <formula1>$O$33:$O$36</formula1>
    </dataValidation>
    <dataValidation type="whole" allowBlank="1" showInputMessage="1" showErrorMessage="1" sqref="H14:I14" xr:uid="{900C9F97-39CE-454F-8BF7-5E8CB7DFD0A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17A54617-BB52-475E-9690-3BC320C8C74B}">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8782-081D-40BC-9094-12EBB87B959A}">
  <sheetPr>
    <tabColor rgb="FF92D050"/>
  </sheetPr>
  <dimension ref="A1:XFD392"/>
  <sheetViews>
    <sheetView zoomScale="70" zoomScaleNormal="70" workbookViewId="0">
      <selection sqref="A1:XFD104857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771</v>
      </c>
      <c r="C2" s="1211"/>
      <c r="D2" s="1211"/>
      <c r="E2" s="1211"/>
      <c r="F2" s="1211"/>
      <c r="G2" s="1211"/>
      <c r="H2" s="1211"/>
      <c r="I2" s="1212"/>
      <c r="L2" s="1213" t="s">
        <v>772</v>
      </c>
      <c r="M2" s="1214"/>
      <c r="N2" s="1214"/>
      <c r="O2" s="1215"/>
      <c r="P2" s="1215"/>
      <c r="Q2" s="1215"/>
      <c r="R2" s="1215"/>
      <c r="S2" s="1215"/>
      <c r="T2" s="1216"/>
      <c r="U2" s="1208" t="s">
        <v>773</v>
      </c>
    </row>
    <row r="3" spans="2:79" ht="45" customHeight="1" thickBot="1">
      <c r="B3" s="1217"/>
      <c r="C3" s="1218" t="s">
        <v>1004</v>
      </c>
      <c r="D3" s="1211"/>
      <c r="E3" s="1212"/>
      <c r="F3" s="1219"/>
      <c r="G3" s="1220"/>
      <c r="H3" s="1220"/>
      <c r="I3" s="1220"/>
      <c r="L3" s="1221" t="s">
        <v>775</v>
      </c>
      <c r="M3" s="1222" t="s">
        <v>776</v>
      </c>
      <c r="N3" s="1223" t="s">
        <v>777</v>
      </c>
      <c r="O3" s="1221" t="s">
        <v>775</v>
      </c>
      <c r="P3" s="1222" t="s">
        <v>776</v>
      </c>
      <c r="Q3" s="1223" t="s">
        <v>777</v>
      </c>
      <c r="R3" s="1221" t="s">
        <v>775</v>
      </c>
      <c r="S3" s="1222" t="s">
        <v>776</v>
      </c>
      <c r="T3" s="1223" t="s">
        <v>777</v>
      </c>
    </row>
    <row r="4" spans="2:79" ht="51.6" customHeight="1" thickBot="1">
      <c r="F4" s="1207"/>
      <c r="G4" s="1207"/>
      <c r="H4" s="1207"/>
      <c r="L4" s="1224" t="s">
        <v>778</v>
      </c>
      <c r="M4" s="1225">
        <v>8</v>
      </c>
      <c r="N4" s="1226" t="e">
        <f>I32</f>
        <v>#REF!</v>
      </c>
      <c r="O4" s="1227" t="s">
        <v>779</v>
      </c>
      <c r="P4" s="1228">
        <v>25</v>
      </c>
      <c r="Q4" s="1229" t="e">
        <f>I176</f>
        <v>#REF!</v>
      </c>
      <c r="R4" s="1230" t="s">
        <v>780</v>
      </c>
      <c r="S4" s="1231">
        <v>39</v>
      </c>
      <c r="T4" s="1232" t="e">
        <f>I244</f>
        <v>#REF!</v>
      </c>
    </row>
    <row r="5" spans="2:79" ht="54.6" customHeight="1">
      <c r="B5" s="1233" t="s">
        <v>781</v>
      </c>
      <c r="C5" s="1234" t="str">
        <f>[1]B.Pontozás_2.értékelő!C5</f>
        <v>Farkas Sándor Mihály</v>
      </c>
      <c r="D5" s="1235"/>
      <c r="E5" s="1235"/>
      <c r="F5" s="1235"/>
      <c r="G5" s="1235"/>
      <c r="H5" s="1235"/>
      <c r="I5" s="1236"/>
      <c r="L5" s="1237" t="s">
        <v>782</v>
      </c>
      <c r="M5" s="1238">
        <v>17</v>
      </c>
      <c r="N5" s="1239" t="e">
        <f>I52</f>
        <v>#REF!</v>
      </c>
      <c r="O5" s="1240" t="s">
        <v>783</v>
      </c>
      <c r="P5" s="1241">
        <v>4</v>
      </c>
      <c r="Q5" s="1242" t="e">
        <f>I232</f>
        <v>#REF!</v>
      </c>
      <c r="R5" s="1243" t="s">
        <v>784</v>
      </c>
      <c r="S5" s="1244">
        <v>10</v>
      </c>
      <c r="T5" s="1245" t="e">
        <f>I306</f>
        <v>#REF!</v>
      </c>
    </row>
    <row r="6" spans="2:79" ht="54.6" customHeight="1">
      <c r="B6" s="1246" t="s">
        <v>785</v>
      </c>
      <c r="C6" s="1247">
        <f>[1]B.Pontozás_2.értékelő!C6</f>
        <v>34576</v>
      </c>
      <c r="D6" s="1248"/>
      <c r="E6" s="1248"/>
      <c r="F6" s="1248"/>
      <c r="G6" s="1248"/>
      <c r="H6" s="1248"/>
      <c r="I6" s="1249"/>
      <c r="L6" s="1237" t="s">
        <v>786</v>
      </c>
      <c r="M6" s="1238">
        <v>40</v>
      </c>
      <c r="N6" s="1250" t="e">
        <f>I88</f>
        <v>#REF!</v>
      </c>
      <c r="O6" s="1240" t="s">
        <v>787</v>
      </c>
      <c r="P6" s="1251">
        <v>27</v>
      </c>
      <c r="Q6" s="1242" t="e">
        <f>I348</f>
        <v>#REF!</v>
      </c>
      <c r="R6" s="1243" t="s">
        <v>788</v>
      </c>
      <c r="S6" s="1244">
        <v>12</v>
      </c>
      <c r="T6" s="1245" t="e">
        <f>I327</f>
        <v>#REF!</v>
      </c>
      <c r="Y6" s="1208"/>
      <c r="AC6" s="1252"/>
    </row>
    <row r="7" spans="2:79" ht="54.6" customHeight="1" thickBot="1">
      <c r="B7" s="1246" t="s">
        <v>789</v>
      </c>
      <c r="C7" s="1253" t="str">
        <f>[1]B.Pontozás_2.értékelő!C7</f>
        <v>fssandor94@gmail.com</v>
      </c>
      <c r="D7" s="1248"/>
      <c r="E7" s="1248"/>
      <c r="F7" s="1248"/>
      <c r="G7" s="1248"/>
      <c r="H7" s="1248"/>
      <c r="I7" s="1249"/>
      <c r="J7" s="1254"/>
      <c r="K7" s="1254"/>
      <c r="L7" s="1255" t="s">
        <v>790</v>
      </c>
      <c r="M7" s="1256">
        <v>18</v>
      </c>
      <c r="N7" s="1257" t="e">
        <f>I146</f>
        <v>#REF!</v>
      </c>
      <c r="O7" s="1258"/>
      <c r="P7" s="1259"/>
      <c r="Q7" s="1260"/>
      <c r="R7" s="1261"/>
      <c r="S7" s="1262"/>
      <c r="T7" s="1263"/>
    </row>
    <row r="8" spans="2:79" ht="54.6" customHeight="1">
      <c r="B8" s="1246" t="s">
        <v>791</v>
      </c>
      <c r="C8" s="1264"/>
      <c r="D8" s="1265"/>
      <c r="E8" s="1265"/>
      <c r="F8" s="1265"/>
      <c r="G8" s="1265"/>
      <c r="H8" s="1265"/>
      <c r="I8" s="1266"/>
      <c r="J8" s="1254"/>
      <c r="K8" s="1254"/>
      <c r="L8" s="1267" t="s">
        <v>793</v>
      </c>
      <c r="M8" s="1268">
        <f>SUM(M4:M7)</f>
        <v>83</v>
      </c>
      <c r="N8" s="1269"/>
      <c r="O8" s="1270" t="s">
        <v>793</v>
      </c>
      <c r="P8" s="1271">
        <f>SUM(P4:P7)</f>
        <v>56</v>
      </c>
      <c r="Q8" s="1272"/>
      <c r="R8" s="1273" t="s">
        <v>794</v>
      </c>
      <c r="S8" s="1274">
        <f>SUM(S4:S7)</f>
        <v>61</v>
      </c>
      <c r="T8" s="1275"/>
    </row>
    <row r="9" spans="2:79" ht="54.6" customHeight="1" thickBot="1">
      <c r="B9" s="1276" t="s">
        <v>795</v>
      </c>
      <c r="C9" s="1277"/>
      <c r="D9" s="1278"/>
      <c r="E9" s="1278"/>
      <c r="F9" s="1278"/>
      <c r="G9" s="1278"/>
      <c r="H9" s="1278"/>
      <c r="I9" s="1279"/>
      <c r="L9" s="1280" t="s">
        <v>797</v>
      </c>
      <c r="M9" s="1281">
        <f>ROUND(M8*0.3,0)</f>
        <v>25</v>
      </c>
      <c r="N9" s="1239"/>
      <c r="O9" s="1282" t="s">
        <v>798</v>
      </c>
      <c r="P9" s="1283">
        <f>ROUND(P8*0.3,0)</f>
        <v>17</v>
      </c>
      <c r="Q9" s="1284"/>
      <c r="R9" s="1285" t="s">
        <v>799</v>
      </c>
      <c r="S9" s="1286">
        <f>ROUND(S8*0.3,0)</f>
        <v>18</v>
      </c>
      <c r="T9" s="1287"/>
      <c r="U9" s="1288"/>
      <c r="V9" s="1289"/>
      <c r="W9" s="1288"/>
      <c r="AD9" s="1288"/>
      <c r="AK9" s="1288"/>
      <c r="AY9" s="1288"/>
      <c r="BT9" s="1288"/>
    </row>
    <row r="10" spans="2:79" ht="54.6" customHeight="1" thickBot="1">
      <c r="B10" s="1276" t="s">
        <v>800</v>
      </c>
      <c r="C10" s="1290"/>
      <c r="D10" s="1291"/>
      <c r="E10" s="1291"/>
      <c r="F10" s="1291"/>
      <c r="G10" s="1291"/>
      <c r="H10" s="1291"/>
      <c r="I10" s="1292"/>
      <c r="L10" s="1293" t="s">
        <v>801</v>
      </c>
      <c r="M10" s="1294"/>
      <c r="N10" s="1295" t="e">
        <f>SUM(N4:N9)</f>
        <v>#REF!</v>
      </c>
      <c r="O10" s="1296"/>
      <c r="P10" s="1297"/>
      <c r="Q10" s="1298" t="e">
        <f>SUM(Q4:Q9)</f>
        <v>#REF!</v>
      </c>
      <c r="R10" s="1299"/>
      <c r="S10" s="1300"/>
      <c r="T10" s="1301" t="e">
        <f>SUM(T4:T9)</f>
        <v>#REF!</v>
      </c>
      <c r="U10" s="1302"/>
    </row>
    <row r="11" spans="2:79" ht="36.950000000000003" customHeight="1" thickBot="1">
      <c r="L11" s="1303" t="s">
        <v>802</v>
      </c>
      <c r="M11" s="1304" t="s">
        <v>803</v>
      </c>
      <c r="N11" s="1295" t="e">
        <f>IF(N10&lt;M9,"KO","OK")</f>
        <v>#REF!</v>
      </c>
      <c r="O11" s="1296"/>
      <c r="P11" s="1298"/>
      <c r="Q11" s="1298" t="e">
        <f>IF(Q10&lt;P9,"KO","OK")</f>
        <v>#REF!</v>
      </c>
      <c r="R11" s="1299"/>
      <c r="S11" s="1305"/>
      <c r="T11" s="1301" t="e">
        <f>IF(T10&lt;S9,"KO","OK")</f>
        <v>#REF!</v>
      </c>
    </row>
    <row r="12" spans="2:79" ht="64.5" customHeight="1" thickBot="1">
      <c r="B12" s="1306" t="s">
        <v>804</v>
      </c>
      <c r="C12" s="1307"/>
      <c r="D12" s="1308"/>
      <c r="E12" s="1309" t="e">
        <f>IF(OR(M12=$M$11,M16=$M$11),"ÜT elutasítás","   ")</f>
        <v>#REF!</v>
      </c>
      <c r="F12" s="1309"/>
      <c r="G12" s="1310"/>
      <c r="H12" s="1311" t="e">
        <f>IF(OR(M12=$M$11,M16=$M$11)," ",I28)</f>
        <v>#REF!</v>
      </c>
      <c r="I12" s="1312"/>
      <c r="J12" s="1254"/>
      <c r="K12" s="1254"/>
      <c r="L12" s="1313" t="s">
        <v>805</v>
      </c>
      <c r="M12" s="1314" t="e">
        <f>IF(OR(N11=M11,Q11=M11,T11=M11),"KO","OK")</f>
        <v>#REF!</v>
      </c>
      <c r="N12" s="1315" t="e">
        <f>IF(M12=$M$11,"Minősítési csoportonként nem érte el a 30%-ot! :(","Csoportonként elérte a 30%-ot! :-)")</f>
        <v>#REF!</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806</v>
      </c>
      <c r="C14" s="1319"/>
      <c r="D14" s="1319"/>
      <c r="E14" s="1319"/>
      <c r="F14" s="1319"/>
      <c r="G14" s="1320"/>
      <c r="H14" s="1321">
        <v>60</v>
      </c>
      <c r="I14" s="1322"/>
      <c r="J14" s="1254"/>
      <c r="K14" s="1254"/>
      <c r="L14" s="1323" t="s">
        <v>807</v>
      </c>
      <c r="M14" s="1314" t="e">
        <f>IF(H28=M11,"KO","OK")</f>
        <v>#REF!</v>
      </c>
      <c r="N14" s="1324" t="e">
        <f>IF(M14=$M$11,"Elutasítási (KO) kritériumok alapján az ÜT NEM fogadható el! :-(","Elutasítási (KO) kritériumok alapján az ÜT elfogadható! :-)")</f>
        <v>#REF!</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808</v>
      </c>
      <c r="C16" s="1328"/>
      <c r="D16" s="1309" t="e">
        <f>IF(ISBLANK(H14),O40,IF(OR(M12=$M$11,M14=$M$11),O39,IF(H12&lt;H14,O38,O37)))</f>
        <v>#REF!</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1005</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1006</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1007</v>
      </c>
      <c r="E20" s="1482" t="s">
        <v>1008</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809</v>
      </c>
      <c r="C22" s="1329">
        <v>200</v>
      </c>
      <c r="D22" s="1330" t="s">
        <v>810</v>
      </c>
      <c r="E22" s="1331" t="s">
        <v>803</v>
      </c>
      <c r="F22" s="1332">
        <v>1</v>
      </c>
      <c r="G22" s="1332">
        <v>2</v>
      </c>
      <c r="H22" s="1332">
        <v>3</v>
      </c>
      <c r="I22" s="1333" t="s">
        <v>103</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811</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812</v>
      </c>
      <c r="C24" s="1341">
        <v>60</v>
      </c>
      <c r="D24" s="1342" t="s">
        <v>813</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814</v>
      </c>
      <c r="C28" s="1348"/>
      <c r="D28" s="1348"/>
      <c r="E28" s="1349"/>
      <c r="F28" s="1350"/>
      <c r="G28" s="1351" t="e">
        <f>SUM(G29:G388)</f>
        <v>#REF!</v>
      </c>
      <c r="H28" s="1352" t="e">
        <f>IF(OR(G93="KO",G100="KO",G115="KO",G361="KO",G370="KO",G93="KO"),"KO"," ")</f>
        <v>#REF!</v>
      </c>
      <c r="I28" s="1351" t="e">
        <f>SUM(I29:I388)</f>
        <v>#REF!</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1009</v>
      </c>
      <c r="F29" s="1485">
        <f>ABS([2]A.Pontozás_1.értékelő!G24-[2]B.Pontozás_2.értékelő!G24)</f>
        <v>0</v>
      </c>
      <c r="G29" s="1206" t="s">
        <v>1010</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815</v>
      </c>
      <c r="G31" s="1358"/>
      <c r="H31" s="1357" t="s">
        <v>816</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817</v>
      </c>
      <c r="C32" s="1362" t="s">
        <v>818</v>
      </c>
      <c r="D32" s="1362"/>
      <c r="E32" s="1363"/>
      <c r="F32" s="1364">
        <f>+E38+E46</f>
        <v>0</v>
      </c>
      <c r="G32" s="1365"/>
      <c r="H32" s="1366">
        <v>8</v>
      </c>
      <c r="I32" s="1367" t="e">
        <f>SUM(G37,G45)</f>
        <v>#REF!</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819</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820</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821</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822</v>
      </c>
      <c r="C37" s="1378" t="s">
        <v>823</v>
      </c>
      <c r="D37" s="1378" t="s">
        <v>824</v>
      </c>
      <c r="E37" s="1379" t="s">
        <v>825</v>
      </c>
      <c r="F37" s="1380" t="s">
        <v>826</v>
      </c>
      <c r="G37" s="1488" t="e">
        <f>AVERAGE([2]A.Pontozás_1.értékelő!G33,[2]B.Pontozás_2.értékelő!G33)</f>
        <v>#REF!</v>
      </c>
      <c r="H37" s="1372"/>
      <c r="I37" s="1254"/>
      <c r="J37" s="1254"/>
      <c r="K37" s="1254"/>
      <c r="L37" s="1382"/>
      <c r="M37" s="1383"/>
      <c r="N37" s="1384"/>
      <c r="O37" s="1385" t="s">
        <v>827</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828</v>
      </c>
      <c r="C38" s="1389">
        <v>0</v>
      </c>
      <c r="D38" s="1390">
        <v>3</v>
      </c>
      <c r="E38" s="1391">
        <v>0</v>
      </c>
      <c r="F38" s="1392"/>
      <c r="G38" s="1393"/>
      <c r="H38" s="1393"/>
      <c r="I38" s="1394"/>
      <c r="J38" s="1254"/>
      <c r="K38" s="1254"/>
      <c r="L38" s="1395"/>
      <c r="M38" s="1396"/>
      <c r="N38" s="1397"/>
      <c r="O38" s="1385" t="s">
        <v>829</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830</v>
      </c>
      <c r="C39" s="1399">
        <v>1</v>
      </c>
      <c r="D39" s="1400">
        <v>3</v>
      </c>
      <c r="E39" s="1401">
        <v>3</v>
      </c>
      <c r="F39" s="1392"/>
      <c r="G39" s="1402"/>
      <c r="H39" s="1402"/>
      <c r="I39" s="1403"/>
      <c r="J39" s="1254"/>
      <c r="K39" s="1254"/>
      <c r="L39" s="1395"/>
      <c r="M39" s="1396"/>
      <c r="N39" s="1397"/>
      <c r="O39" s="1385" t="s">
        <v>831</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832</v>
      </c>
      <c r="C40" s="1405">
        <v>2</v>
      </c>
      <c r="D40" s="1406">
        <v>3</v>
      </c>
      <c r="E40" s="1407">
        <v>6</v>
      </c>
      <c r="F40" s="1408"/>
      <c r="G40" s="1409"/>
      <c r="H40" s="1409"/>
      <c r="I40" s="1410"/>
      <c r="J40" s="1254"/>
      <c r="K40" s="1254"/>
      <c r="L40" s="1411"/>
      <c r="M40" s="1412"/>
      <c r="N40" s="1413"/>
      <c r="O40" s="1385" t="s">
        <v>833</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834</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835</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821</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822</v>
      </c>
      <c r="C45" s="1378" t="s">
        <v>823</v>
      </c>
      <c r="D45" s="1378" t="s">
        <v>824</v>
      </c>
      <c r="E45" s="1379" t="s">
        <v>825</v>
      </c>
      <c r="F45" s="1380" t="s">
        <v>826</v>
      </c>
      <c r="G45" s="1488" t="e">
        <f>AVERAGE([2]A.Pontozás_1.értékelő!G41,[2]B.Pontozás_2.értékelő!G41)</f>
        <v>#REF!</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828</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830</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832</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815</v>
      </c>
      <c r="G51" s="1358"/>
      <c r="H51" s="1357" t="s">
        <v>816</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836</v>
      </c>
      <c r="C52" s="1362" t="s">
        <v>837</v>
      </c>
      <c r="D52" s="1362"/>
      <c r="E52" s="1363"/>
      <c r="F52" s="1364">
        <v>1</v>
      </c>
      <c r="G52" s="1365"/>
      <c r="H52" s="1366">
        <v>17</v>
      </c>
      <c r="I52" s="1367" t="e">
        <f>SUM(G57,G65,G73,G81)</f>
        <v>#REF!</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838</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839</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821</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822</v>
      </c>
      <c r="C57" s="1378" t="s">
        <v>823</v>
      </c>
      <c r="D57" s="1378" t="s">
        <v>824</v>
      </c>
      <c r="E57" s="1379" t="s">
        <v>825</v>
      </c>
      <c r="F57" s="1423" t="s">
        <v>826</v>
      </c>
      <c r="G57" s="1488" t="e">
        <f>AVERAGE([2]A.Pontozás_1.értékelő!G53,[2]B.Pontozás_2.értékelő!G53)</f>
        <v>#REF!</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840</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841</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842</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843</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844</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821</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822</v>
      </c>
      <c r="C65" s="1378" t="s">
        <v>823</v>
      </c>
      <c r="D65" s="1378" t="s">
        <v>824</v>
      </c>
      <c r="E65" s="1379" t="s">
        <v>825</v>
      </c>
      <c r="F65" s="1423" t="s">
        <v>826</v>
      </c>
      <c r="G65" s="1488" t="e">
        <f>AVERAGE([2]A.Pontozás_1.értékelő!G61,[2]B.Pontozás_2.értékelő!G61)</f>
        <v>#REF!</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845</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846</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847</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848</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849</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821</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822</v>
      </c>
      <c r="C73" s="1378" t="s">
        <v>823</v>
      </c>
      <c r="D73" s="1378" t="s">
        <v>824</v>
      </c>
      <c r="E73" s="1379" t="s">
        <v>825</v>
      </c>
      <c r="F73" s="1423" t="s">
        <v>826</v>
      </c>
      <c r="G73" s="1488" t="e">
        <f>AVERAGE([2]A.Pontozás_1.értékelő!G69,[2]B.Pontozás_2.értékelő!G69)</f>
        <v>#REF!</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828</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830</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832</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850</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851</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852</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822</v>
      </c>
      <c r="C81" s="1378" t="s">
        <v>823</v>
      </c>
      <c r="D81" s="1378" t="s">
        <v>824</v>
      </c>
      <c r="E81" s="1379" t="s">
        <v>825</v>
      </c>
      <c r="F81" s="1423" t="s">
        <v>826</v>
      </c>
      <c r="G81" s="1488" t="e">
        <f>AVERAGE([2]A.Pontozás_1.értékelő!G77,[2]B.Pontozás_2.értékelő!G77)</f>
        <v>#REF!</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828</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830</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832</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815</v>
      </c>
      <c r="G87" s="1358"/>
      <c r="H87" s="1357" t="s">
        <v>816</v>
      </c>
      <c r="I87" s="1426" t="e">
        <f>IF(OR(G93="KO",G100="KO",G115="KO"),"KO","Nincs KO")</f>
        <v>#REF!</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853</v>
      </c>
      <c r="C88" s="1362" t="s">
        <v>854</v>
      </c>
      <c r="D88" s="1362"/>
      <c r="E88" s="1363"/>
      <c r="F88" s="1364">
        <v>22</v>
      </c>
      <c r="G88" s="1365"/>
      <c r="H88" s="1366">
        <v>40</v>
      </c>
      <c r="I88" s="1367" t="e">
        <f>SUM(G93,G100,G107,G115,G122,G130,G138)</f>
        <v>#REF!</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855</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856</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852</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822</v>
      </c>
      <c r="C93" s="1428" t="s">
        <v>823</v>
      </c>
      <c r="D93" s="1428" t="s">
        <v>824</v>
      </c>
      <c r="E93" s="1429" t="s">
        <v>825</v>
      </c>
      <c r="F93" s="1423" t="s">
        <v>826</v>
      </c>
      <c r="G93" s="1488" t="e">
        <f>AVERAGE([2]A.Pontozás_1.értékelő!G89,[2]B.Pontozás_2.értékelő!G89)</f>
        <v>#REF!</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857</v>
      </c>
      <c r="C94" s="1430" t="s">
        <v>858</v>
      </c>
      <c r="D94" s="1431"/>
      <c r="E94" s="1432" t="s">
        <v>803</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859</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860</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861</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852</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822</v>
      </c>
      <c r="C100" s="1428" t="s">
        <v>823</v>
      </c>
      <c r="D100" s="1428" t="s">
        <v>824</v>
      </c>
      <c r="E100" s="1429" t="s">
        <v>825</v>
      </c>
      <c r="F100" s="1423" t="s">
        <v>826</v>
      </c>
      <c r="G100" s="1488" t="e">
        <f>AVERAGE([2]A.Pontozás_1.értékelő!G96,[2]B.Pontozás_2.értékelő!G96)</f>
        <v>#REF!</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857</v>
      </c>
      <c r="C101" s="1430" t="s">
        <v>858</v>
      </c>
      <c r="D101" s="1431"/>
      <c r="E101" s="1432" t="s">
        <v>803</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859</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862</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863</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852</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822</v>
      </c>
      <c r="C107" s="1378" t="s">
        <v>823</v>
      </c>
      <c r="D107" s="1378" t="s">
        <v>824</v>
      </c>
      <c r="E107" s="1379" t="s">
        <v>825</v>
      </c>
      <c r="F107" s="1423" t="s">
        <v>826</v>
      </c>
      <c r="G107" s="1488" t="e">
        <f>AVERAGE([2]A.Pontozás_1.értékelő!G103,[2]B.Pontozás_2.értékelő!G103)</f>
        <v>#REF!</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864</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865</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866</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867</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868</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852</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822</v>
      </c>
      <c r="C115" s="1428" t="s">
        <v>823</v>
      </c>
      <c r="D115" s="1428" t="s">
        <v>824</v>
      </c>
      <c r="E115" s="1429" t="s">
        <v>825</v>
      </c>
      <c r="F115" s="1423" t="s">
        <v>826</v>
      </c>
      <c r="G115" s="1488" t="e">
        <f>AVERAGE([2]A.Pontozás_1.értékelő!G111,[2]B.Pontozás_2.értékelő!G111)</f>
        <v>#REF!</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857</v>
      </c>
      <c r="C116" s="1430" t="s">
        <v>858</v>
      </c>
      <c r="D116" s="1431"/>
      <c r="E116" s="1432" t="s">
        <v>803</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859</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869</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870</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821</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822</v>
      </c>
      <c r="C122" s="1437" t="s">
        <v>823</v>
      </c>
      <c r="D122" s="1438" t="s">
        <v>824</v>
      </c>
      <c r="E122" s="1439" t="s">
        <v>825</v>
      </c>
      <c r="F122" s="1423" t="s">
        <v>826</v>
      </c>
      <c r="G122" s="1488" t="e">
        <f>AVERAGE([2]A.Pontozás_1.értékelő!G118,[2]B.Pontozás_2.értékelő!G118)</f>
        <v>#REF!</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871</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872</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873</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874</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875</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821</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822</v>
      </c>
      <c r="C130" s="1437" t="s">
        <v>823</v>
      </c>
      <c r="D130" s="1438" t="s">
        <v>824</v>
      </c>
      <c r="E130" s="1439" t="s">
        <v>825</v>
      </c>
      <c r="F130" s="1423" t="s">
        <v>826</v>
      </c>
      <c r="G130" s="1488" t="e">
        <f>AVERAGE([2]A.Pontozás_1.értékelő!G126,[2]B.Pontozás_2.értékelő!G126)</f>
        <v>#REF!</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828</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876</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877</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878</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879</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821</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822</v>
      </c>
      <c r="C138" s="1437" t="s">
        <v>823</v>
      </c>
      <c r="D138" s="1438" t="s">
        <v>824</v>
      </c>
      <c r="E138" s="1439" t="s">
        <v>825</v>
      </c>
      <c r="F138" s="1423" t="s">
        <v>826</v>
      </c>
      <c r="G138" s="1488" t="e">
        <f>AVERAGE([2]A.Pontozás_1.értékelő!G134,[2]B.Pontozás_2.értékelő!G134)</f>
        <v>#REF!</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880</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881</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882</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815</v>
      </c>
      <c r="G145" s="1358"/>
      <c r="H145" s="1357" t="s">
        <v>816</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883</v>
      </c>
      <c r="C146" s="1362" t="s">
        <v>884</v>
      </c>
      <c r="D146" s="1362"/>
      <c r="E146" s="1363"/>
      <c r="F146" s="1364">
        <v>6</v>
      </c>
      <c r="G146" s="1365"/>
      <c r="H146" s="1366">
        <v>18</v>
      </c>
      <c r="I146" s="1367" t="e">
        <f>SUM(G151,G159,G167)</f>
        <v>#REF!</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885</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886</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821</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822</v>
      </c>
      <c r="C151" s="1378" t="s">
        <v>823</v>
      </c>
      <c r="D151" s="1378" t="s">
        <v>824</v>
      </c>
      <c r="E151" s="1379" t="s">
        <v>825</v>
      </c>
      <c r="F151" s="1423" t="s">
        <v>826</v>
      </c>
      <c r="G151" s="1488" t="e">
        <f>AVERAGE([2]A.Pontozás_1.értékelő!G147,[2]B.Pontozás_2.értékelő!G147)</f>
        <v>#REF!</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887</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888</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889</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890</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891</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821</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822</v>
      </c>
      <c r="C159" s="1378" t="s">
        <v>823</v>
      </c>
      <c r="D159" s="1378" t="s">
        <v>824</v>
      </c>
      <c r="E159" s="1379" t="s">
        <v>825</v>
      </c>
      <c r="F159" s="1423" t="s">
        <v>826</v>
      </c>
      <c r="G159" s="1488" t="e">
        <f>AVERAGE([2]A.Pontozás_1.értékelő!G155,[2]B.Pontozás_2.értékelő!G155)</f>
        <v>#REF!</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892</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893</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894</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895</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896</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821</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822</v>
      </c>
      <c r="C167" s="1378" t="s">
        <v>823</v>
      </c>
      <c r="D167" s="1378" t="s">
        <v>824</v>
      </c>
      <c r="E167" s="1379" t="s">
        <v>825</v>
      </c>
      <c r="F167" s="1423" t="s">
        <v>826</v>
      </c>
      <c r="G167" s="1488" t="e">
        <f>AVERAGE([2]A.Pontozás_1.értékelő!G163,[2]B.Pontozás_2.értékelő!G163)</f>
        <v>#REF!</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897</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898</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899</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815</v>
      </c>
      <c r="G175" s="1358"/>
      <c r="H175" s="1357" t="s">
        <v>816</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900</v>
      </c>
      <c r="C176" s="1362" t="s">
        <v>901</v>
      </c>
      <c r="D176" s="1362"/>
      <c r="E176" s="1363"/>
      <c r="F176" s="1364">
        <v>0</v>
      </c>
      <c r="G176" s="1365"/>
      <c r="H176" s="1366">
        <v>25</v>
      </c>
      <c r="I176" s="1367" t="e">
        <f>SUM(G181,G189,G197,G205,G215,G224)</f>
        <v>#REF!</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902</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903</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821</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822</v>
      </c>
      <c r="C181" s="1378" t="s">
        <v>823</v>
      </c>
      <c r="D181" s="1378" t="s">
        <v>824</v>
      </c>
      <c r="E181" s="1379" t="s">
        <v>825</v>
      </c>
      <c r="F181" s="1423" t="s">
        <v>826</v>
      </c>
      <c r="G181" s="1488" t="e">
        <f>AVERAGE([2]A.Pontozás_1.értékelő!G177,[2]B.Pontozás_2.értékelő!G177)</f>
        <v>#REF!</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828</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830</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832</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904</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905</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821</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822</v>
      </c>
      <c r="C189" s="1378" t="s">
        <v>823</v>
      </c>
      <c r="D189" s="1378" t="s">
        <v>824</v>
      </c>
      <c r="E189" s="1379" t="s">
        <v>825</v>
      </c>
      <c r="F189" s="1423" t="s">
        <v>826</v>
      </c>
      <c r="G189" s="1488" t="e">
        <f>AVERAGE([2]A.Pontozás_1.értékelő!G185,[2]B.Pontozás_2.értékelő!G185)</f>
        <v>#REF!</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828</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830</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832</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906</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907</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821</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822</v>
      </c>
      <c r="C197" s="1378" t="s">
        <v>823</v>
      </c>
      <c r="D197" s="1378" t="s">
        <v>824</v>
      </c>
      <c r="E197" s="1379" t="s">
        <v>825</v>
      </c>
      <c r="F197" s="1423" t="s">
        <v>826</v>
      </c>
      <c r="G197" s="1488" t="e">
        <f>AVERAGE([2]A.Pontozás_1.értékelő!G193,[2]B.Pontozás_2.értékelő!G193)</f>
        <v>#REF!</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908</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909</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910</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911</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912</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821</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822</v>
      </c>
      <c r="C205" s="1378" t="s">
        <v>823</v>
      </c>
      <c r="D205" s="1378" t="s">
        <v>824</v>
      </c>
      <c r="E205" s="1379" t="s">
        <v>825</v>
      </c>
      <c r="F205" s="1423" t="s">
        <v>826</v>
      </c>
      <c r="G205" s="1488" t="e">
        <f>AVERAGE([2]A.Pontozás_1.értékelő!G201,[2]B.Pontozás_2.értékelő!G201)</f>
        <v>#REF!</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913</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914</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915</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916</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917</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918</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919</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821</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822</v>
      </c>
      <c r="C215" s="1378" t="s">
        <v>823</v>
      </c>
      <c r="D215" s="1378" t="s">
        <v>824</v>
      </c>
      <c r="E215" s="1379" t="s">
        <v>825</v>
      </c>
      <c r="F215" s="1423" t="s">
        <v>826</v>
      </c>
      <c r="G215" s="1488" t="e">
        <f>AVERAGE([2]A.Pontozás_1.értékelő!G211,[2]B.Pontozás_2.értékelő!G211)</f>
        <v>#REF!</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920</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921</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922</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923</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924</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925</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926</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822</v>
      </c>
      <c r="C224" s="1378" t="s">
        <v>823</v>
      </c>
      <c r="D224" s="1378" t="s">
        <v>824</v>
      </c>
      <c r="E224" s="1379" t="s">
        <v>825</v>
      </c>
      <c r="F224" s="1423" t="s">
        <v>826</v>
      </c>
      <c r="G224" s="1488" t="e">
        <f>AVERAGE([2]A.Pontozás_1.értékelő!G220,[2]B.Pontozás_2.értékelő!G220)</f>
        <v>#REF!</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828</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830</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832</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815</v>
      </c>
      <c r="G231" s="1358"/>
      <c r="H231" s="1357" t="s">
        <v>816</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927</v>
      </c>
      <c r="C232" s="1362" t="s">
        <v>928</v>
      </c>
      <c r="D232" s="1362"/>
      <c r="E232" s="1363"/>
      <c r="F232" s="1364">
        <v>1</v>
      </c>
      <c r="G232" s="1365"/>
      <c r="H232" s="1366">
        <v>4</v>
      </c>
      <c r="I232" s="1367" t="e">
        <f>SUM(G237)</f>
        <v>#REF!</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929</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930</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821</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822</v>
      </c>
      <c r="C237" s="1378" t="s">
        <v>823</v>
      </c>
      <c r="D237" s="1378" t="s">
        <v>824</v>
      </c>
      <c r="E237" s="1379" t="s">
        <v>825</v>
      </c>
      <c r="F237" s="1423" t="s">
        <v>826</v>
      </c>
      <c r="G237" s="1488" t="e">
        <f>AVERAGE([2]A.Pontozás_1.értékelő!G233,[2]B.Pontozás_2.értékelő!G233)</f>
        <v>#REF!</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828</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830</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832</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815</v>
      </c>
      <c r="G243" s="1358"/>
      <c r="H243" s="1357" t="s">
        <v>816</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931</v>
      </c>
      <c r="C244" s="1362" t="s">
        <v>854</v>
      </c>
      <c r="D244" s="1362"/>
      <c r="E244" s="1363"/>
      <c r="F244" s="1364">
        <v>7</v>
      </c>
      <c r="G244" s="1365"/>
      <c r="H244" s="1366">
        <v>39</v>
      </c>
      <c r="I244" s="1367" t="e">
        <f>SUM(G249,G257,G265,G272,G280,G290,G298)</f>
        <v>#REF!</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932</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933</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852</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822</v>
      </c>
      <c r="C249" s="1378" t="s">
        <v>823</v>
      </c>
      <c r="D249" s="1378" t="s">
        <v>824</v>
      </c>
      <c r="E249" s="1379" t="s">
        <v>825</v>
      </c>
      <c r="F249" s="1423" t="s">
        <v>826</v>
      </c>
      <c r="G249" s="1488" t="e">
        <f>AVERAGE([2]A.Pontozás_1.értékelő!G245,[2]B.Pontozás_2.értékelő!G245)</f>
        <v>#REF!</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934</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935</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936</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937</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938</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852</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822</v>
      </c>
      <c r="C257" s="1378" t="s">
        <v>823</v>
      </c>
      <c r="D257" s="1378" t="s">
        <v>824</v>
      </c>
      <c r="E257" s="1379" t="s">
        <v>825</v>
      </c>
      <c r="F257" s="1423" t="s">
        <v>826</v>
      </c>
      <c r="G257" s="1488" t="e">
        <f>AVERAGE([2]A.Pontozás_1.értékelő!G253,[2]B.Pontozás_2.értékelő!G253)</f>
        <v>#REF!</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939</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940</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941</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942</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943</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852</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822</v>
      </c>
      <c r="C265" s="1378" t="s">
        <v>823</v>
      </c>
      <c r="D265" s="1378" t="s">
        <v>824</v>
      </c>
      <c r="E265" s="1379" t="s">
        <v>825</v>
      </c>
      <c r="F265" s="1423" t="s">
        <v>826</v>
      </c>
      <c r="G265" s="1488" t="e">
        <f>AVERAGE([2]A.Pontozás_1.értékelő!G261,[2]B.Pontozás_2.értékelő!G261)</f>
        <v>#REF!</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944</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945</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946</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947</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852</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822</v>
      </c>
      <c r="C272" s="1378" t="s">
        <v>823</v>
      </c>
      <c r="D272" s="1378" t="s">
        <v>824</v>
      </c>
      <c r="E272" s="1379" t="s">
        <v>825</v>
      </c>
      <c r="F272" s="1423" t="s">
        <v>826</v>
      </c>
      <c r="G272" s="1488" t="e">
        <f>AVERAGE([2]A.Pontozás_1.értékelő!G268,[2]B.Pontozás_2.értékelő!G268)</f>
        <v>#REF!</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948</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949</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950</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951</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952</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821</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822</v>
      </c>
      <c r="C280" s="1378" t="s">
        <v>823</v>
      </c>
      <c r="D280" s="1378" t="s">
        <v>824</v>
      </c>
      <c r="E280" s="1379" t="s">
        <v>825</v>
      </c>
      <c r="F280" s="1423" t="s">
        <v>826</v>
      </c>
      <c r="G280" s="1488" t="e">
        <f>AVERAGE([2]A.Pontozás_1.értékelő!G276,[2]B.Pontozás_2.értékelő!G276)</f>
        <v>#REF!</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953</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954</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955</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956</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957</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958</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959</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821</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822</v>
      </c>
      <c r="C290" s="1378" t="s">
        <v>823</v>
      </c>
      <c r="D290" s="1378" t="s">
        <v>824</v>
      </c>
      <c r="E290" s="1379" t="s">
        <v>825</v>
      </c>
      <c r="F290" s="1423" t="s">
        <v>826</v>
      </c>
      <c r="G290" s="1488" t="e">
        <f>AVERAGE([2]A.Pontozás_1.értékelő!G286,[2]B.Pontozás_2.értékelő!G286)</f>
        <v>#REF!</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960</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961</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962</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963</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964</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821</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822</v>
      </c>
      <c r="C298" s="1378" t="s">
        <v>823</v>
      </c>
      <c r="D298" s="1378" t="s">
        <v>824</v>
      </c>
      <c r="E298" s="1379" t="s">
        <v>825</v>
      </c>
      <c r="F298" s="1423" t="s">
        <v>826</v>
      </c>
      <c r="G298" s="1488" t="e">
        <f>AVERAGE([2]A.Pontozás_1.értékelő!G294,[2]B.Pontozás_2.értékelő!G294)</f>
        <v>#REF!</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965</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966</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967</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815</v>
      </c>
      <c r="G305" s="1358"/>
      <c r="H305" s="1357" t="s">
        <v>816</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968</v>
      </c>
      <c r="C306" s="1362" t="s">
        <v>818</v>
      </c>
      <c r="D306" s="1362"/>
      <c r="E306" s="1363"/>
      <c r="F306" s="1364">
        <v>1</v>
      </c>
      <c r="G306" s="1365"/>
      <c r="H306" s="1366">
        <v>10</v>
      </c>
      <c r="I306" s="1367" t="e">
        <f>SUM(G311,G319)</f>
        <v>#REF!</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969</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970</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821</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822</v>
      </c>
      <c r="C311" s="1378" t="s">
        <v>823</v>
      </c>
      <c r="D311" s="1378" t="s">
        <v>824</v>
      </c>
      <c r="E311" s="1379" t="s">
        <v>825</v>
      </c>
      <c r="F311" s="1423" t="s">
        <v>826</v>
      </c>
      <c r="G311" s="1488" t="e">
        <f>AVERAGE([2]A.Pontozás_1.értékelő!G307,[2]B.Pontozás_2.értékelő!G307)</f>
        <v>#REF!</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828</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830</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832</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971</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972</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821</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822</v>
      </c>
      <c r="C319" s="1378" t="s">
        <v>823</v>
      </c>
      <c r="D319" s="1378" t="s">
        <v>824</v>
      </c>
      <c r="E319" s="1379" t="s">
        <v>825</v>
      </c>
      <c r="F319" s="1423" t="s">
        <v>826</v>
      </c>
      <c r="G319" s="1488" t="e">
        <f>AVERAGE([2]A.Pontozás_1.értékelő!G315,[2]B.Pontozás_2.értékelő!G315)</f>
        <v>#REF!</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828</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830</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832</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815</v>
      </c>
      <c r="G326" s="1358"/>
      <c r="H326" s="1357" t="s">
        <v>816</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973</v>
      </c>
      <c r="C327" s="1362" t="s">
        <v>818</v>
      </c>
      <c r="D327" s="1362"/>
      <c r="E327" s="1363"/>
      <c r="F327" s="1364">
        <v>4</v>
      </c>
      <c r="G327" s="1365"/>
      <c r="H327" s="1366">
        <v>12</v>
      </c>
      <c r="I327" s="1367" t="e">
        <f>SUM(G332,G340)</f>
        <v>#REF!</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974</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975</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821</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822</v>
      </c>
      <c r="C332" s="1378" t="s">
        <v>823</v>
      </c>
      <c r="D332" s="1378" t="s">
        <v>824</v>
      </c>
      <c r="E332" s="1379" t="s">
        <v>825</v>
      </c>
      <c r="F332" s="1423" t="s">
        <v>826</v>
      </c>
      <c r="G332" s="1488" t="e">
        <f>AVERAGE([2]A.Pontozás_1.értékelő!G328,[2]B.Pontozás_2.értékelő!G328)</f>
        <v>#REF!</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976</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977</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978</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979</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980</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821</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822</v>
      </c>
      <c r="C340" s="1378" t="s">
        <v>823</v>
      </c>
      <c r="D340" s="1378" t="s">
        <v>824</v>
      </c>
      <c r="E340" s="1379" t="s">
        <v>825</v>
      </c>
      <c r="F340" s="1423" t="s">
        <v>826</v>
      </c>
      <c r="G340" s="1488" t="e">
        <f>AVERAGE([2]A.Pontozás_1.értékelő!G336,[2]B.Pontozás_2.értékelő!G336)</f>
        <v>#REF!</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965</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966</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967</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815</v>
      </c>
      <c r="G347" s="1358"/>
      <c r="H347" s="1357" t="s">
        <v>816</v>
      </c>
      <c r="I347" s="1426" t="e">
        <f>IF(OR(G361="KO",G370="KO",G378="KO"),"KO","Nincs KO")</f>
        <v>#REF!</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981</v>
      </c>
      <c r="C348" s="1362" t="s">
        <v>982</v>
      </c>
      <c r="D348" s="1362"/>
      <c r="E348" s="1363"/>
      <c r="F348" s="1364">
        <f>+E354+E363+E372+E380+E386</f>
        <v>8</v>
      </c>
      <c r="G348" s="1365"/>
      <c r="H348" s="1366">
        <v>27</v>
      </c>
      <c r="I348" s="1367" t="e">
        <f>SUM(G353,G361,G370,G378,G385)</f>
        <v>#REF!</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983</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984</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985</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821</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822</v>
      </c>
      <c r="C353" s="1378" t="s">
        <v>823</v>
      </c>
      <c r="D353" s="1378" t="s">
        <v>824</v>
      </c>
      <c r="E353" s="1379" t="s">
        <v>825</v>
      </c>
      <c r="F353" s="1423" t="s">
        <v>826</v>
      </c>
      <c r="G353" s="1488" t="e">
        <f>AVERAGE([2]A.Pontozás_1.értékelő!G349,[2]B.Pontozás_2.értékelő!G349)</f>
        <v>#REF!</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828</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986</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987</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988</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989</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821</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822</v>
      </c>
      <c r="C361" s="1428" t="s">
        <v>823</v>
      </c>
      <c r="D361" s="1428" t="s">
        <v>824</v>
      </c>
      <c r="E361" s="1429" t="s">
        <v>825</v>
      </c>
      <c r="F361" s="1423" t="s">
        <v>826</v>
      </c>
      <c r="G361" s="1488" t="e">
        <f>AVERAGE([2]A.Pontozás_1.értékelő!G357,[2]B.Pontozás_2.értékelő!G357)</f>
        <v>#REF!</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990</v>
      </c>
      <c r="C362" s="1457" t="s">
        <v>858</v>
      </c>
      <c r="D362" s="1458"/>
      <c r="E362" s="1459" t="s">
        <v>803</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991</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992</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993</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994</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995</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821</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822</v>
      </c>
      <c r="C370" s="1466" t="s">
        <v>823</v>
      </c>
      <c r="D370" s="1466" t="s">
        <v>824</v>
      </c>
      <c r="E370" s="1467" t="s">
        <v>825</v>
      </c>
      <c r="F370" s="1423" t="s">
        <v>826</v>
      </c>
      <c r="G370" s="1488" t="e">
        <f>AVERAGE([2]A.Pontozás_1.értékelő!G366,[2]B.Pontozás_2.értékelő!G366)</f>
        <v>#REF!</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996</v>
      </c>
      <c r="C371" s="1469" t="s">
        <v>858</v>
      </c>
      <c r="D371" s="1469"/>
      <c r="E371" s="1470" t="s">
        <v>803</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997</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998</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999</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1000</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821</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822</v>
      </c>
      <c r="C378" s="1466" t="s">
        <v>823</v>
      </c>
      <c r="D378" s="1466" t="s">
        <v>824</v>
      </c>
      <c r="E378" s="1467" t="s">
        <v>825</v>
      </c>
      <c r="F378" s="1423" t="s">
        <v>826</v>
      </c>
      <c r="G378" s="1488" t="e">
        <f>AVERAGE([2]A.Pontozás_1.értékelő!G374,[2]B.Pontozás_2.értékelő!G374)</f>
        <v>#REF!</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857</v>
      </c>
      <c r="C379" s="1469" t="s">
        <v>858</v>
      </c>
      <c r="D379" s="1469"/>
      <c r="E379" s="1470" t="s">
        <v>803</v>
      </c>
      <c r="F379" s="1424"/>
      <c r="G379" s="1417"/>
      <c r="H379" s="1417"/>
      <c r="I379" s="1418"/>
    </row>
    <row r="380" spans="1:79" ht="25.5" thickBot="1">
      <c r="B380" s="1404" t="s">
        <v>859</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1001</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1002</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821</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822</v>
      </c>
      <c r="C385" s="1474" t="s">
        <v>823</v>
      </c>
      <c r="D385" s="1474" t="s">
        <v>824</v>
      </c>
      <c r="E385" s="1475" t="s">
        <v>825</v>
      </c>
      <c r="F385" s="1423" t="s">
        <v>826</v>
      </c>
      <c r="G385" s="1488" t="e">
        <f>AVERAGE([2]A.Pontozás_1.értékelő!G381,[2]B.Pontozás_2.értékelő!G381)</f>
        <v>#REF!</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828</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830</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832</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CF802F2F-26FE-426A-97B2-0A46AD4EED3B}">
      <formula1>60</formula1>
      <formula2>200</formula2>
    </dataValidation>
    <dataValidation type="list" allowBlank="1" showInputMessage="1" showErrorMessage="1" sqref="D16:F19 H16:I19" xr:uid="{E9077C8D-000D-4FA4-B84D-DC0A7A2469D2}">
      <formula1>$O$37:$O$40</formula1>
    </dataValidation>
    <dataValidation type="list" allowBlank="1" showInputMessage="1" showErrorMessage="1" sqref="J12:J15 H13:I13 O26:T26 D13:F13 D15:F15 H15:I15" xr:uid="{E2DE9B2C-395C-4922-8392-C9AC2F495DCC}">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6D24561F-A687-4500-83E5-DDC489CAEB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601BD3C6-8D5F-4A9C-8992-DFADF9851D0A}">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570F96B7-3315-4DC6-9CE0-E73A11F0193B}">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35EE9AFA-8D1A-490D-A1B1-5F2A19A53182}">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9" activePane="bottomLeft" state="frozen"/>
      <selection activeCell="B13" sqref="B13"/>
      <selection pane="bottomLeft" activeCell="B13" sqref="B13"/>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203</v>
      </c>
      <c r="C2" s="732"/>
      <c r="D2" s="732"/>
    </row>
    <row r="4" spans="2:4" ht="27" customHeight="1">
      <c r="B4" s="331" t="s">
        <v>236</v>
      </c>
    </row>
    <row r="5" spans="2:4" ht="27" customHeight="1">
      <c r="B5" s="68" t="s">
        <v>248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0" t="str">
        <f>'10.b-Cash-flow 2. év'!B1:C1</f>
        <v>10.b) Cash-flow előrejelzés 2. év</v>
      </c>
      <c r="D16" s="39">
        <v>26</v>
      </c>
    </row>
    <row r="17" spans="2:4" ht="31.5" customHeight="1">
      <c r="B17" s="63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258</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view="pageBreakPreview" zoomScale="70" zoomScaleNormal="60" zoomScaleSheetLayoutView="70" workbookViewId="0">
      <pane ySplit="3" topLeftCell="A6" activePane="bottomLeft" state="frozen"/>
      <selection activeCell="B13" sqref="B13"/>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266</v>
      </c>
      <c r="C1" s="734"/>
      <c r="D1" s="734"/>
      <c r="E1" s="735"/>
      <c r="F1" s="75" t="s">
        <v>279</v>
      </c>
    </row>
    <row r="2" spans="1:6" ht="24.75" customHeight="1" thickBot="1">
      <c r="B2" s="736" t="s">
        <v>522</v>
      </c>
      <c r="C2" s="737"/>
      <c r="D2" s="737"/>
      <c r="E2" s="738"/>
      <c r="F2" s="111" t="s">
        <v>280</v>
      </c>
    </row>
    <row r="3" spans="1:6" ht="32.25" customHeight="1" thickBot="1">
      <c r="A3" s="180">
        <v>5000</v>
      </c>
      <c r="B3" s="108" t="s">
        <v>0</v>
      </c>
      <c r="C3" s="181">
        <f>LEN(B5)</f>
        <v>4616</v>
      </c>
      <c r="D3" s="739" t="str">
        <f>IF(C3&gt;A3,CONCATENATE("Karaktertúllépés! Kérjük, válaszát maximum ",A3," karakterben foglalja össze!"),CONCATENATE("Még beírható karakterek száma:   ",A3-C3))</f>
        <v>Még beírható karakterek száma:   384</v>
      </c>
      <c r="E3" s="740"/>
      <c r="F3" s="176"/>
    </row>
    <row r="4" spans="1:6" ht="15.75" customHeight="1" thickBot="1">
      <c r="B4" s="177"/>
      <c r="C4" s="72"/>
      <c r="D4" s="73"/>
      <c r="E4" s="178"/>
      <c r="F4" s="6"/>
    </row>
    <row r="5" spans="1:6" ht="327" customHeight="1" thickBot="1">
      <c r="B5" s="744" t="s">
        <v>753</v>
      </c>
      <c r="C5" s="745"/>
      <c r="D5" s="745"/>
      <c r="E5" s="746"/>
      <c r="F5" s="633" t="s">
        <v>526</v>
      </c>
    </row>
    <row r="6" spans="1:6" ht="321.75" customHeight="1">
      <c r="B6" s="747"/>
      <c r="C6" s="748"/>
      <c r="D6" s="748"/>
      <c r="E6" s="749"/>
      <c r="F6" s="741" t="s">
        <v>527</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topLeftCell="B1" zoomScale="80" zoomScaleNormal="60" zoomScaleSheetLayoutView="80" workbookViewId="0">
      <pane ySplit="1" topLeftCell="A23" activePane="bottomLeft" state="frozen"/>
      <selection activeCell="B13" sqref="B13"/>
      <selection pane="bottomLeft" activeCell="B13" sqref="B13"/>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5" t="s">
        <v>237</v>
      </c>
      <c r="C1" s="766"/>
      <c r="D1" s="766"/>
      <c r="E1" s="767"/>
      <c r="F1" s="179" t="s">
        <v>204</v>
      </c>
    </row>
    <row r="2" spans="1:6" ht="37.5" customHeight="1" thickBot="1">
      <c r="B2" s="768" t="s">
        <v>259</v>
      </c>
      <c r="C2" s="769"/>
      <c r="D2" s="769"/>
      <c r="E2" s="770"/>
      <c r="F2" s="112" t="s">
        <v>281</v>
      </c>
    </row>
    <row r="3" spans="1:6" ht="32.25" customHeight="1" thickBot="1">
      <c r="A3" s="231">
        <v>500</v>
      </c>
      <c r="B3" s="108" t="s">
        <v>0</v>
      </c>
      <c r="C3" s="181">
        <f>LEN(B4)</f>
        <v>19</v>
      </c>
      <c r="D3" s="739" t="str">
        <f>IF(C3&gt;A3,CONCATENATE("Karaktertúllépés! Kérjük, válaszát maximum ",A3," karakterben foglalja össze!"),CONCATENATE("Még beírható karakterek száma:   ",A3-C3))</f>
        <v>Még beírható karakterek száma:   481</v>
      </c>
      <c r="E3" s="740"/>
      <c r="F3" s="244"/>
    </row>
    <row r="4" spans="1:6" ht="169.5" customHeight="1" thickBot="1">
      <c r="B4" s="771" t="s">
        <v>653</v>
      </c>
      <c r="C4" s="772"/>
      <c r="D4" s="772"/>
      <c r="E4" s="773"/>
      <c r="F4" s="234" t="s">
        <v>205</v>
      </c>
    </row>
    <row r="5" spans="1:6" ht="13.5" customHeight="1">
      <c r="B5" s="242"/>
      <c r="C5" s="70"/>
      <c r="D5" s="70"/>
      <c r="E5" s="239"/>
      <c r="F5" s="233"/>
    </row>
    <row r="6" spans="1:6" ht="37.5" customHeight="1" thickBot="1">
      <c r="B6" s="756" t="s">
        <v>1</v>
      </c>
      <c r="C6" s="757"/>
      <c r="D6" s="757"/>
      <c r="E6" s="758"/>
      <c r="F6" s="233"/>
    </row>
    <row r="7" spans="1:6" ht="92.25" customHeight="1" thickBot="1">
      <c r="B7" s="777" t="s">
        <v>655</v>
      </c>
      <c r="C7" s="778"/>
      <c r="D7" s="778"/>
      <c r="E7" s="779"/>
      <c r="F7" s="245" t="s">
        <v>412</v>
      </c>
    </row>
    <row r="8" spans="1:6" ht="23.25" customHeight="1" thickBot="1">
      <c r="B8" s="243"/>
      <c r="C8" s="78"/>
      <c r="D8" s="780" t="s">
        <v>413</v>
      </c>
      <c r="E8" s="781"/>
      <c r="F8" s="233"/>
    </row>
    <row r="9" spans="1:6" s="45" customFormat="1" ht="40.5" customHeight="1" thickBot="1">
      <c r="B9" s="227"/>
      <c r="C9" s="782" t="s">
        <v>354</v>
      </c>
      <c r="D9" s="783"/>
      <c r="E9" s="784"/>
      <c r="F9" s="233"/>
    </row>
    <row r="10" spans="1:6" ht="44.25" customHeight="1" thickBot="1">
      <c r="B10" s="774" t="s">
        <v>2</v>
      </c>
      <c r="C10" s="775"/>
      <c r="D10" s="775"/>
      <c r="E10" s="776"/>
      <c r="F10" s="233"/>
    </row>
    <row r="11" spans="1:6" ht="38.25" customHeight="1" thickBot="1">
      <c r="A11" s="231">
        <v>500</v>
      </c>
      <c r="B11" s="108" t="s">
        <v>0</v>
      </c>
      <c r="C11" s="181">
        <f>LEN(B12)</f>
        <v>44</v>
      </c>
      <c r="D11" s="739" t="str">
        <f>IF(C11&gt;A11,CONCATENATE("Karaktertúllépés! Kérjük, válaszát maximum ",A11," karakterben foglalja össze!"),CONCATENATE("Még beírható karakterek száma:   ",A11-C11))</f>
        <v>Még beírható karakterek száma:   456</v>
      </c>
      <c r="E11" s="740"/>
      <c r="F11" s="244"/>
    </row>
    <row r="12" spans="1:6" ht="134.25" customHeight="1" thickBot="1">
      <c r="B12" s="771" t="s">
        <v>654</v>
      </c>
      <c r="C12" s="772"/>
      <c r="D12" s="772"/>
      <c r="E12" s="773"/>
      <c r="F12" s="246" t="s">
        <v>414</v>
      </c>
    </row>
    <row r="13" spans="1:6" ht="9" customHeight="1">
      <c r="B13" s="242"/>
      <c r="C13" s="70"/>
      <c r="D13" s="70"/>
      <c r="E13" s="239"/>
      <c r="F13" s="245"/>
    </row>
    <row r="14" spans="1:6" ht="28.5" customHeight="1" thickBot="1">
      <c r="B14" s="756" t="s">
        <v>6</v>
      </c>
      <c r="C14" s="757"/>
      <c r="D14" s="757"/>
      <c r="E14" s="758"/>
      <c r="F14" s="753" t="s">
        <v>260</v>
      </c>
    </row>
    <row r="15" spans="1:6" ht="27.75" customHeight="1">
      <c r="B15" s="754" t="s">
        <v>3</v>
      </c>
      <c r="C15" s="755"/>
      <c r="D15" s="755" t="s">
        <v>4</v>
      </c>
      <c r="E15" s="763"/>
      <c r="F15" s="753"/>
    </row>
    <row r="16" spans="1:6" ht="139.5" customHeight="1">
      <c r="B16" s="759" t="s">
        <v>728</v>
      </c>
      <c r="C16" s="760"/>
      <c r="D16" s="760" t="s">
        <v>729</v>
      </c>
      <c r="E16" s="764"/>
      <c r="F16" s="247" t="s">
        <v>262</v>
      </c>
    </row>
    <row r="17" spans="2:6" ht="139.5" customHeight="1">
      <c r="B17" s="759" t="s">
        <v>730</v>
      </c>
      <c r="C17" s="760"/>
      <c r="D17" s="760" t="s">
        <v>731</v>
      </c>
      <c r="E17" s="764"/>
      <c r="F17" s="247" t="s">
        <v>264</v>
      </c>
    </row>
    <row r="18" spans="2:6" ht="139.5" customHeight="1" thickBot="1">
      <c r="B18" s="761" t="s">
        <v>732</v>
      </c>
      <c r="C18" s="762"/>
      <c r="D18" s="762" t="s">
        <v>733</v>
      </c>
      <c r="E18" s="786"/>
      <c r="F18" s="248" t="s">
        <v>265</v>
      </c>
    </row>
    <row r="19" spans="2:6" ht="13.5" customHeight="1">
      <c r="B19" s="242"/>
      <c r="C19" s="70"/>
      <c r="D19" s="70"/>
      <c r="E19" s="239"/>
      <c r="F19" s="249"/>
    </row>
    <row r="20" spans="2:6" ht="28.5" customHeight="1" thickBot="1">
      <c r="B20" s="756" t="s">
        <v>5</v>
      </c>
      <c r="C20" s="757"/>
      <c r="D20" s="757"/>
      <c r="E20" s="758"/>
      <c r="F20" s="785" t="s">
        <v>252</v>
      </c>
    </row>
    <row r="21" spans="2:6" ht="33.75" customHeight="1">
      <c r="B21" s="754" t="s">
        <v>3</v>
      </c>
      <c r="C21" s="755"/>
      <c r="D21" s="755" t="s">
        <v>4</v>
      </c>
      <c r="E21" s="763"/>
      <c r="F21" s="785"/>
    </row>
    <row r="22" spans="2:6" ht="135" customHeight="1">
      <c r="B22" s="787" t="s">
        <v>656</v>
      </c>
      <c r="C22" s="788"/>
      <c r="D22" s="788" t="s">
        <v>657</v>
      </c>
      <c r="E22" s="789"/>
      <c r="F22" s="245"/>
    </row>
    <row r="23" spans="2:6" ht="135" customHeight="1">
      <c r="B23" s="759" t="s">
        <v>658</v>
      </c>
      <c r="C23" s="760"/>
      <c r="D23" s="760" t="s">
        <v>659</v>
      </c>
      <c r="E23" s="764"/>
      <c r="F23" s="250" t="s">
        <v>263</v>
      </c>
    </row>
    <row r="24" spans="2:6" ht="135" customHeight="1" thickBot="1">
      <c r="B24" s="761" t="s">
        <v>660</v>
      </c>
      <c r="C24" s="762"/>
      <c r="D24" s="762" t="s">
        <v>661</v>
      </c>
      <c r="E24" s="786"/>
      <c r="F24" s="251" t="s">
        <v>288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topLeftCell="A28" zoomScale="85" zoomScaleNormal="80" zoomScaleSheetLayoutView="85"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2" t="s">
        <v>238</v>
      </c>
      <c r="C1" s="813"/>
      <c r="D1" s="813"/>
      <c r="E1" s="813"/>
      <c r="F1" s="814"/>
      <c r="G1" s="179" t="s">
        <v>204</v>
      </c>
    </row>
    <row r="2" spans="1:9" ht="13.5" customHeight="1" thickBot="1">
      <c r="A2" s="4"/>
      <c r="B2" s="171"/>
      <c r="C2" s="172"/>
      <c r="D2" s="172"/>
      <c r="E2" s="172"/>
      <c r="F2" s="174"/>
      <c r="G2" s="233"/>
    </row>
    <row r="3" spans="1:9" ht="30" customHeight="1" thickBot="1">
      <c r="A3" s="4"/>
      <c r="B3" s="183" t="s">
        <v>7</v>
      </c>
      <c r="C3" s="186"/>
      <c r="D3" s="186"/>
      <c r="E3" s="186"/>
      <c r="F3" s="187"/>
      <c r="G3" s="279" t="s">
        <v>284</v>
      </c>
    </row>
    <row r="4" spans="1:9" ht="31.5" customHeight="1" thickBot="1">
      <c r="A4" s="4"/>
      <c r="B4" s="162" t="s">
        <v>8</v>
      </c>
      <c r="C4" s="793" t="s">
        <v>632</v>
      </c>
      <c r="D4" s="793"/>
      <c r="E4" s="793"/>
      <c r="F4" s="794"/>
      <c r="G4" s="141" t="s">
        <v>282</v>
      </c>
    </row>
    <row r="5" spans="1:9" ht="32.25" customHeight="1" thickBot="1">
      <c r="A5" s="4"/>
      <c r="B5" s="184" t="s">
        <v>9</v>
      </c>
      <c r="C5" s="797" t="s">
        <v>633</v>
      </c>
      <c r="D5" s="798"/>
      <c r="E5" s="798"/>
      <c r="F5" s="799"/>
      <c r="G5" s="141" t="s">
        <v>206</v>
      </c>
    </row>
    <row r="6" spans="1:9" ht="56.25" customHeight="1" thickBot="1">
      <c r="A6" s="4"/>
      <c r="B6" s="185" t="s">
        <v>10</v>
      </c>
      <c r="C6" s="800" t="s">
        <v>634</v>
      </c>
      <c r="D6" s="801"/>
      <c r="E6" s="801"/>
      <c r="F6" s="802"/>
      <c r="G6" s="141" t="s">
        <v>207</v>
      </c>
    </row>
    <row r="7" spans="1:9" ht="24" customHeight="1">
      <c r="A7" s="215" t="s">
        <v>327</v>
      </c>
      <c r="B7" s="823" t="s">
        <v>11</v>
      </c>
      <c r="C7" s="198" t="s">
        <v>327</v>
      </c>
      <c r="D7" s="810" t="s">
        <v>431</v>
      </c>
      <c r="E7" s="810"/>
      <c r="F7" s="811"/>
      <c r="G7" s="825" t="s">
        <v>358</v>
      </c>
      <c r="I7" s="85"/>
    </row>
    <row r="8" spans="1:9" ht="24" customHeight="1">
      <c r="A8" s="4"/>
      <c r="B8" s="824"/>
      <c r="C8" s="199"/>
      <c r="D8" s="837" t="s">
        <v>432</v>
      </c>
      <c r="E8" s="804"/>
      <c r="F8" s="805"/>
      <c r="G8" s="826"/>
    </row>
    <row r="9" spans="1:9" ht="24" customHeight="1">
      <c r="A9" s="4"/>
      <c r="B9" s="824"/>
      <c r="C9" s="199"/>
      <c r="D9" s="804" t="s">
        <v>429</v>
      </c>
      <c r="E9" s="804"/>
      <c r="F9" s="805"/>
      <c r="G9" s="826"/>
    </row>
    <row r="10" spans="1:9" ht="24" customHeight="1">
      <c r="A10" s="4"/>
      <c r="B10" s="824"/>
      <c r="C10" s="199"/>
      <c r="D10" s="804" t="s">
        <v>430</v>
      </c>
      <c r="E10" s="804"/>
      <c r="F10" s="805"/>
      <c r="G10" s="826"/>
    </row>
    <row r="11" spans="1:9" ht="24" customHeight="1" thickBot="1">
      <c r="A11" s="4"/>
      <c r="B11" s="822"/>
      <c r="C11" s="201"/>
      <c r="D11" s="808"/>
      <c r="E11" s="808"/>
      <c r="F11" s="809"/>
      <c r="G11" s="827"/>
    </row>
    <row r="12" spans="1:9" ht="24" customHeight="1">
      <c r="A12" s="215" t="s">
        <v>327</v>
      </c>
      <c r="B12" s="818" t="s">
        <v>235</v>
      </c>
      <c r="C12" s="198" t="s">
        <v>327</v>
      </c>
      <c r="D12" s="810" t="s">
        <v>362</v>
      </c>
      <c r="E12" s="810"/>
      <c r="F12" s="811"/>
      <c r="G12" s="825" t="s">
        <v>357</v>
      </c>
    </row>
    <row r="13" spans="1:9" ht="24" customHeight="1">
      <c r="A13" s="4"/>
      <c r="B13" s="819"/>
      <c r="C13" s="199"/>
      <c r="D13" s="804" t="s">
        <v>363</v>
      </c>
      <c r="E13" s="804"/>
      <c r="F13" s="805"/>
      <c r="G13" s="826"/>
    </row>
    <row r="14" spans="1:9" ht="24" customHeight="1">
      <c r="A14" s="4"/>
      <c r="B14" s="819"/>
      <c r="C14" s="199" t="s">
        <v>327</v>
      </c>
      <c r="D14" s="804" t="s">
        <v>364</v>
      </c>
      <c r="E14" s="804"/>
      <c r="F14" s="805"/>
      <c r="G14" s="826"/>
    </row>
    <row r="15" spans="1:9" ht="24" customHeight="1" thickBot="1">
      <c r="A15" s="4"/>
      <c r="B15" s="820"/>
      <c r="C15" s="200"/>
      <c r="D15" s="806" t="s">
        <v>365</v>
      </c>
      <c r="E15" s="806"/>
      <c r="F15" s="807"/>
      <c r="G15" s="827"/>
    </row>
    <row r="16" spans="1:9" ht="76.5" customHeight="1" thickBot="1">
      <c r="A16" s="4"/>
      <c r="B16" s="162" t="s">
        <v>24</v>
      </c>
      <c r="C16" s="834" t="s">
        <v>768</v>
      </c>
      <c r="D16" s="835"/>
      <c r="E16" s="835"/>
      <c r="F16" s="836"/>
      <c r="G16" s="286" t="s">
        <v>428</v>
      </c>
    </row>
    <row r="17" spans="1:9" ht="122.25" customHeight="1" thickBot="1">
      <c r="A17" s="4"/>
      <c r="B17" s="821" t="s">
        <v>25</v>
      </c>
      <c r="C17" s="744" t="s">
        <v>769</v>
      </c>
      <c r="D17" s="745"/>
      <c r="E17" s="745"/>
      <c r="F17" s="746"/>
      <c r="G17" s="286" t="s">
        <v>356</v>
      </c>
    </row>
    <row r="18" spans="1:9" ht="17.25" customHeight="1" thickBot="1">
      <c r="A18" s="4"/>
      <c r="B18" s="822"/>
      <c r="C18" s="750"/>
      <c r="D18" s="751"/>
      <c r="E18" s="751"/>
      <c r="F18" s="752"/>
      <c r="G18" s="287" t="s">
        <v>283</v>
      </c>
    </row>
    <row r="19" spans="1:9" ht="17.25" customHeight="1" thickBot="1">
      <c r="A19" s="4"/>
      <c r="B19" s="280"/>
      <c r="C19" s="281"/>
      <c r="D19" s="281"/>
      <c r="E19" s="281"/>
      <c r="F19" s="290"/>
      <c r="G19" s="288" t="s">
        <v>374</v>
      </c>
    </row>
    <row r="20" spans="1:9" ht="36" customHeight="1" thickBot="1">
      <c r="A20" s="231">
        <v>250</v>
      </c>
      <c r="B20" s="46" t="s">
        <v>0</v>
      </c>
      <c r="C20" s="144">
        <f>LEN(C21)</f>
        <v>247</v>
      </c>
      <c r="D20" s="739" t="str">
        <f>IF(C20&gt;A20,CONCATENATE("Karaktertúllépés! Kérjük, válaszát maximum ",A20," karakterben foglalja össze!"),CONCATENATE("Még beírható karakterek száma:   ",A20-C20))</f>
        <v>Még beírható karakterek száma:   3</v>
      </c>
      <c r="E20" s="803"/>
      <c r="F20" s="740"/>
      <c r="G20" s="289" t="s">
        <v>375</v>
      </c>
    </row>
    <row r="21" spans="1:9" ht="72.75" customHeight="1" thickBot="1">
      <c r="A21" s="4"/>
      <c r="B21" s="162" t="s">
        <v>315</v>
      </c>
      <c r="C21" s="790" t="s">
        <v>680</v>
      </c>
      <c r="D21" s="791"/>
      <c r="E21" s="791"/>
      <c r="F21" s="792"/>
      <c r="G21" s="141" t="s">
        <v>19</v>
      </c>
    </row>
    <row r="22" spans="1:9" ht="21.75" customHeight="1">
      <c r="A22" s="215" t="s">
        <v>327</v>
      </c>
      <c r="B22" s="815" t="s">
        <v>372</v>
      </c>
      <c r="C22" s="198"/>
      <c r="D22" s="810" t="s">
        <v>366</v>
      </c>
      <c r="E22" s="810"/>
      <c r="F22" s="811"/>
      <c r="G22" s="825" t="s">
        <v>355</v>
      </c>
      <c r="I22" s="85"/>
    </row>
    <row r="23" spans="1:9" ht="21.75" customHeight="1">
      <c r="A23" s="4"/>
      <c r="B23" s="816"/>
      <c r="C23" s="199"/>
      <c r="D23" s="804" t="s">
        <v>371</v>
      </c>
      <c r="E23" s="804"/>
      <c r="F23" s="805"/>
      <c r="G23" s="826"/>
    </row>
    <row r="24" spans="1:9" ht="21.75" customHeight="1">
      <c r="A24" s="4"/>
      <c r="B24" s="816"/>
      <c r="C24" s="199"/>
      <c r="D24" s="804" t="s">
        <v>367</v>
      </c>
      <c r="E24" s="804"/>
      <c r="F24" s="805"/>
      <c r="G24" s="826"/>
    </row>
    <row r="25" spans="1:9" ht="21.75" customHeight="1">
      <c r="A25" s="4"/>
      <c r="B25" s="816"/>
      <c r="C25" s="199" t="s">
        <v>327</v>
      </c>
      <c r="D25" s="804" t="s">
        <v>368</v>
      </c>
      <c r="E25" s="804"/>
      <c r="F25" s="805"/>
      <c r="G25" s="826"/>
    </row>
    <row r="26" spans="1:9" ht="21.75" customHeight="1">
      <c r="A26" s="4"/>
      <c r="B26" s="816"/>
      <c r="C26" s="199"/>
      <c r="D26" s="804" t="s">
        <v>369</v>
      </c>
      <c r="E26" s="804"/>
      <c r="F26" s="805"/>
      <c r="G26" s="826"/>
    </row>
    <row r="27" spans="1:9" ht="21.75" customHeight="1" thickBot="1">
      <c r="A27" s="4"/>
      <c r="B27" s="817"/>
      <c r="C27" s="200"/>
      <c r="D27" s="806" t="s">
        <v>370</v>
      </c>
      <c r="E27" s="806"/>
      <c r="F27" s="807"/>
      <c r="G27" s="827"/>
    </row>
    <row r="28" spans="1:9" ht="12" customHeight="1">
      <c r="A28" s="4"/>
      <c r="B28" s="280"/>
      <c r="C28" s="281"/>
      <c r="D28" s="281"/>
      <c r="E28" s="281"/>
      <c r="F28" s="290"/>
      <c r="G28" s="234"/>
    </row>
    <row r="29" spans="1:9" ht="21" customHeight="1" thickBot="1">
      <c r="A29" s="4"/>
      <c r="B29" s="282" t="s">
        <v>12</v>
      </c>
      <c r="C29" s="281"/>
      <c r="D29" s="281"/>
      <c r="E29" s="281"/>
      <c r="F29" s="290"/>
      <c r="G29" s="233"/>
    </row>
    <row r="30" spans="1:9" ht="34.5" customHeight="1" thickBot="1">
      <c r="A30" s="4"/>
      <c r="B30" s="162"/>
      <c r="C30" s="832" t="s">
        <v>13</v>
      </c>
      <c r="D30" s="833"/>
      <c r="E30" s="88" t="s">
        <v>21</v>
      </c>
      <c r="F30" s="224" t="s">
        <v>20</v>
      </c>
      <c r="G30" s="825" t="s">
        <v>209</v>
      </c>
    </row>
    <row r="31" spans="1:9" ht="47.25" customHeight="1" thickBot="1">
      <c r="A31" s="4"/>
      <c r="B31" s="185" t="s">
        <v>14</v>
      </c>
      <c r="C31" s="795" t="s">
        <v>635</v>
      </c>
      <c r="D31" s="796"/>
      <c r="E31" s="136">
        <v>1</v>
      </c>
      <c r="F31" s="137">
        <v>1</v>
      </c>
      <c r="G31" s="826"/>
    </row>
    <row r="32" spans="1:9" ht="47.25" customHeight="1" thickBot="1">
      <c r="A32" s="4"/>
      <c r="B32" s="185" t="s">
        <v>15</v>
      </c>
      <c r="C32" s="828"/>
      <c r="D32" s="829"/>
      <c r="E32" s="136"/>
      <c r="F32" s="137"/>
      <c r="G32" s="826"/>
    </row>
    <row r="33" spans="1:7" ht="47.25" customHeight="1" thickBot="1">
      <c r="A33" s="4"/>
      <c r="B33" s="184" t="s">
        <v>16</v>
      </c>
      <c r="C33" s="830"/>
      <c r="D33" s="831"/>
      <c r="E33" s="138"/>
      <c r="F33" s="139"/>
      <c r="G33" s="827"/>
    </row>
    <row r="34" spans="1:7" s="140" customFormat="1" ht="11.25" customHeight="1">
      <c r="A34" s="182"/>
      <c r="B34" s="283"/>
      <c r="C34" s="284"/>
      <c r="D34" s="284"/>
      <c r="E34" s="284"/>
      <c r="F34" s="291"/>
      <c r="G34" s="285"/>
    </row>
    <row r="35" spans="1:7" ht="25.5" customHeight="1" thickBot="1">
      <c r="A35" s="4"/>
      <c r="B35" s="282" t="s">
        <v>17</v>
      </c>
      <c r="C35" s="281"/>
      <c r="D35" s="281"/>
      <c r="E35" s="281"/>
      <c r="F35" s="290"/>
      <c r="G35" s="234"/>
    </row>
    <row r="36" spans="1:7" ht="33.75" customHeight="1" thickBot="1">
      <c r="A36" s="231">
        <v>500</v>
      </c>
      <c r="B36" s="46" t="s">
        <v>0</v>
      </c>
      <c r="C36" s="144">
        <f>LEN(C37)</f>
        <v>456</v>
      </c>
      <c r="D36" s="739" t="str">
        <f>IF(C36&gt;A36,CONCATENATE("Karaktertúllépés! Kérjük, válaszát maximum ",A36," karakterben foglalja össze!"),CONCATENATE("Még beírható karakterek száma:   ",A36-C36))</f>
        <v>Még beírható karakterek száma:   44</v>
      </c>
      <c r="E36" s="803"/>
      <c r="F36" s="740"/>
      <c r="G36" s="141"/>
    </row>
    <row r="37" spans="1:7" ht="144" customHeight="1" thickBot="1">
      <c r="A37" s="4"/>
      <c r="B37" s="162" t="s">
        <v>22</v>
      </c>
      <c r="C37" s="771" t="s">
        <v>715</v>
      </c>
      <c r="D37" s="772"/>
      <c r="E37" s="772"/>
      <c r="F37" s="773"/>
      <c r="G37" s="141" t="s">
        <v>208</v>
      </c>
    </row>
    <row r="38" spans="1:7" ht="15.75">
      <c r="A38" s="4"/>
      <c r="B38" s="280"/>
      <c r="C38" s="281"/>
      <c r="D38" s="281"/>
      <c r="E38" s="281"/>
      <c r="F38" s="290"/>
      <c r="G38" s="233"/>
    </row>
    <row r="39" spans="1:7" ht="21" thickBot="1">
      <c r="A39" s="4"/>
      <c r="B39" s="282" t="s">
        <v>18</v>
      </c>
      <c r="C39" s="281"/>
      <c r="D39" s="281"/>
      <c r="E39" s="281"/>
      <c r="F39" s="290"/>
      <c r="G39" s="233"/>
    </row>
    <row r="40" spans="1:7" ht="30.75" customHeight="1" thickBot="1">
      <c r="A40" s="231">
        <v>250</v>
      </c>
      <c r="B40" s="46" t="s">
        <v>0</v>
      </c>
      <c r="C40" s="144">
        <f>LEN(C41)</f>
        <v>248</v>
      </c>
      <c r="D40" s="739" t="str">
        <f>IF(C40&gt;A40,CONCATENATE("Karaktertúllépés! Kérjük, válaszát maximum ",A40," karakterben foglalja össze!"),CONCATENATE("Még beírható karakterek száma:   ",A40-C40))</f>
        <v>Még beírható karakterek száma:   2</v>
      </c>
      <c r="E40" s="803"/>
      <c r="F40" s="740"/>
      <c r="G40" s="141"/>
    </row>
    <row r="41" spans="1:7" ht="122.25" customHeight="1" thickBot="1">
      <c r="A41" s="4"/>
      <c r="B41" s="162" t="s">
        <v>268</v>
      </c>
      <c r="C41" s="771" t="s">
        <v>734</v>
      </c>
      <c r="D41" s="772"/>
      <c r="E41" s="772"/>
      <c r="F41" s="773"/>
      <c r="G41" s="141" t="s">
        <v>267</v>
      </c>
    </row>
    <row r="42" spans="1:7" ht="21" thickBot="1">
      <c r="A42" s="4"/>
      <c r="B42" s="282"/>
      <c r="C42" s="281"/>
      <c r="D42" s="281"/>
      <c r="E42" s="281"/>
      <c r="F42" s="290"/>
      <c r="G42" s="234"/>
    </row>
    <row r="43" spans="1:7" ht="30.75" customHeight="1" thickBot="1">
      <c r="A43" s="231">
        <v>250</v>
      </c>
      <c r="B43" s="46" t="s">
        <v>0</v>
      </c>
      <c r="C43" s="144">
        <f>LEN(C44)</f>
        <v>235</v>
      </c>
      <c r="D43" s="739" t="str">
        <f>IF(C43&gt;A43,CONCATENATE("Karaktertúllépés! Kérjük, válaszát maximum ",A43," karakterben foglalja össze!"),CONCATENATE("Még beírható karakterek száma:   ",A43-C43))</f>
        <v>Még beírható karakterek száma:   15</v>
      </c>
      <c r="E43" s="803"/>
      <c r="F43" s="740"/>
      <c r="G43" s="141"/>
    </row>
    <row r="44" spans="1:7" ht="126.75" customHeight="1" thickBot="1">
      <c r="A44" s="4"/>
      <c r="B44" s="162" t="s">
        <v>23</v>
      </c>
      <c r="C44" s="771" t="s">
        <v>735</v>
      </c>
      <c r="D44" s="772"/>
      <c r="E44" s="772"/>
      <c r="F44" s="773"/>
      <c r="G44" s="141"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topLeftCell="A13" zoomScale="80" zoomScaleNormal="70" zoomScaleSheetLayoutView="8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8" t="s">
        <v>239</v>
      </c>
      <c r="C1" s="734"/>
      <c r="D1" s="734"/>
      <c r="E1" s="735"/>
      <c r="F1" s="179"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26</v>
      </c>
      <c r="C2" s="90"/>
      <c r="D2" s="90"/>
      <c r="E2" s="253"/>
      <c r="F2" s="112" t="s">
        <v>284</v>
      </c>
    </row>
    <row r="3" spans="1:16329" ht="57" customHeight="1" thickBot="1">
      <c r="B3" s="98" t="s">
        <v>27</v>
      </c>
      <c r="C3" s="839" t="s">
        <v>635</v>
      </c>
      <c r="D3" s="845"/>
      <c r="E3" s="840"/>
      <c r="F3" s="857" t="s">
        <v>359</v>
      </c>
    </row>
    <row r="4" spans="1:16329" ht="50.25" customHeight="1" thickBot="1">
      <c r="B4" s="84" t="s">
        <v>316</v>
      </c>
      <c r="C4" s="846">
        <v>34576</v>
      </c>
      <c r="D4" s="845"/>
      <c r="E4" s="840"/>
      <c r="F4" s="858"/>
    </row>
    <row r="5" spans="1:16329" ht="53.25" customHeight="1" thickBot="1">
      <c r="B5" s="84" t="s">
        <v>317</v>
      </c>
      <c r="C5" s="839">
        <v>8466270574</v>
      </c>
      <c r="D5" s="845"/>
      <c r="E5" s="840"/>
      <c r="F5" s="858"/>
    </row>
    <row r="6" spans="1:16329" ht="33" customHeight="1" thickBot="1">
      <c r="B6" s="84" t="s">
        <v>28</v>
      </c>
      <c r="C6" s="839" t="s">
        <v>633</v>
      </c>
      <c r="D6" s="845"/>
      <c r="E6" s="840"/>
      <c r="F6" s="858"/>
    </row>
    <row r="7" spans="1:16329" ht="33" customHeight="1" thickBot="1">
      <c r="B7" s="84" t="s">
        <v>29</v>
      </c>
      <c r="C7" s="847" t="s">
        <v>636</v>
      </c>
      <c r="D7" s="845"/>
      <c r="E7" s="840"/>
      <c r="F7" s="858"/>
    </row>
    <row r="8" spans="1:16329" ht="33" customHeight="1" thickBot="1">
      <c r="B8" s="84" t="s">
        <v>30</v>
      </c>
      <c r="C8" s="839">
        <v>6202793525</v>
      </c>
      <c r="D8" s="845"/>
      <c r="E8" s="840"/>
      <c r="F8" s="93"/>
    </row>
    <row r="9" spans="1:16329" ht="54.75" customHeight="1" thickBot="1">
      <c r="B9" s="84" t="s">
        <v>31</v>
      </c>
      <c r="C9" s="839" t="s">
        <v>764</v>
      </c>
      <c r="D9" s="845"/>
      <c r="E9" s="840"/>
      <c r="F9" s="93"/>
    </row>
    <row r="10" spans="1:16329" ht="9" customHeight="1" thickBot="1">
      <c r="B10" s="240"/>
      <c r="C10" s="225"/>
      <c r="D10" s="225"/>
      <c r="E10" s="226"/>
      <c r="F10" s="93"/>
    </row>
    <row r="11" spans="1:16329" ht="36" customHeight="1" thickBot="1">
      <c r="B11" s="252" t="s">
        <v>32</v>
      </c>
      <c r="C11" s="90"/>
      <c r="D11" s="90"/>
      <c r="E11" s="253"/>
      <c r="F11" s="93"/>
    </row>
    <row r="12" spans="1:16329" ht="36" customHeight="1" thickBot="1">
      <c r="B12" s="84" t="s">
        <v>27</v>
      </c>
      <c r="C12" s="839" t="str">
        <f>C3</f>
        <v>Farkas Sándor Mihály</v>
      </c>
      <c r="D12" s="845"/>
      <c r="E12" s="840"/>
      <c r="F12" s="141" t="s">
        <v>210</v>
      </c>
    </row>
    <row r="13" spans="1:16329" ht="18" customHeight="1" thickBot="1">
      <c r="B13" s="241"/>
      <c r="C13" s="70"/>
      <c r="D13" s="70"/>
      <c r="E13" s="239"/>
      <c r="F13" s="93"/>
    </row>
    <row r="14" spans="1:16329" ht="32.25" customHeight="1" thickBot="1">
      <c r="A14" s="231">
        <v>250</v>
      </c>
      <c r="B14" s="46" t="s">
        <v>0</v>
      </c>
      <c r="C14" s="181">
        <f>LEN(C15)</f>
        <v>237</v>
      </c>
      <c r="D14" s="848" t="str">
        <f>IF(C14&gt;A14,CONCATENATE("Karaktertúllépés! Kérjük, válaszát maximum ",A14," karakterben foglalja össze!"),CONCATENATE("Még beírható karakterek száma:   ",A14-C14))</f>
        <v>Még beírható karakterek száma:   13</v>
      </c>
      <c r="E14" s="849"/>
      <c r="F14" s="93"/>
    </row>
    <row r="15" spans="1:16329" ht="84" customHeight="1" thickBot="1">
      <c r="B15" s="84" t="s">
        <v>269</v>
      </c>
      <c r="C15" s="839" t="s">
        <v>736</v>
      </c>
      <c r="D15" s="845"/>
      <c r="E15" s="840"/>
      <c r="F15" s="93"/>
    </row>
    <row r="16" spans="1:16329" ht="18" customHeight="1" thickBot="1">
      <c r="B16" s="235"/>
      <c r="C16" s="70"/>
      <c r="D16" s="70"/>
      <c r="E16" s="239"/>
      <c r="F16" s="93"/>
    </row>
    <row r="17" spans="1:6" ht="32.25" customHeight="1" thickBot="1">
      <c r="A17" s="231">
        <v>250</v>
      </c>
      <c r="B17" s="46" t="s">
        <v>0</v>
      </c>
      <c r="C17" s="181">
        <f>LEN(C18)</f>
        <v>249</v>
      </c>
      <c r="D17" s="848" t="str">
        <f>IF(C17&gt;A17,CONCATENATE("Karaktertúllépés! Kérjük, válaszát maximum ",A17," karakterben foglalja össze!"),CONCATENATE("Még beírható karakterek száma:   ",A17-C17))</f>
        <v>Még beírható karakterek száma:   1</v>
      </c>
      <c r="E17" s="849"/>
      <c r="F17" s="93"/>
    </row>
    <row r="18" spans="1:6" ht="101.25" customHeight="1" thickBot="1">
      <c r="B18" s="98" t="s">
        <v>37</v>
      </c>
      <c r="C18" s="839" t="s">
        <v>639</v>
      </c>
      <c r="D18" s="845"/>
      <c r="E18" s="840"/>
      <c r="F18" s="93"/>
    </row>
    <row r="19" spans="1:6" ht="13.5" customHeight="1" thickBot="1">
      <c r="B19" s="235"/>
      <c r="C19" s="70"/>
      <c r="D19" s="70"/>
      <c r="E19" s="239"/>
      <c r="F19" s="93"/>
    </row>
    <row r="20" spans="1:6" ht="42" customHeight="1">
      <c r="B20" s="843" t="s">
        <v>33</v>
      </c>
      <c r="C20" s="223" t="s">
        <v>38</v>
      </c>
      <c r="D20" s="755" t="s">
        <v>427</v>
      </c>
      <c r="E20" s="763"/>
      <c r="F20" s="93"/>
    </row>
    <row r="21" spans="1:6" ht="42" customHeight="1" thickBot="1">
      <c r="B21" s="844"/>
      <c r="C21" s="708">
        <v>1253000</v>
      </c>
      <c r="D21" s="855">
        <v>1880000</v>
      </c>
      <c r="E21" s="856"/>
      <c r="F21" s="93"/>
    </row>
    <row r="22" spans="1:6" ht="27" customHeight="1" thickBot="1">
      <c r="B22" s="235"/>
      <c r="C22" s="70"/>
      <c r="D22" s="70"/>
      <c r="E22" s="239"/>
      <c r="F22" s="93"/>
    </row>
    <row r="23" spans="1:6" ht="25.5" customHeight="1" thickBot="1">
      <c r="B23" s="252" t="s">
        <v>34</v>
      </c>
      <c r="C23" s="90"/>
      <c r="D23" s="90"/>
      <c r="E23" s="253"/>
      <c r="F23" s="850" t="s">
        <v>271</v>
      </c>
    </row>
    <row r="24" spans="1:6" ht="45" customHeight="1" thickBot="1">
      <c r="B24" s="102"/>
      <c r="C24" s="116" t="s">
        <v>35</v>
      </c>
      <c r="D24" s="841" t="s">
        <v>36</v>
      </c>
      <c r="E24" s="842"/>
      <c r="F24" s="851"/>
    </row>
    <row r="25" spans="1:6" ht="45" customHeight="1" thickBot="1">
      <c r="A25" s="231">
        <v>500</v>
      </c>
      <c r="B25" s="46" t="s">
        <v>0</v>
      </c>
      <c r="C25" s="181">
        <f>LEN(C26)+LEN(D26)</f>
        <v>440</v>
      </c>
      <c r="D25" s="848" t="str">
        <f>IF(C25&gt;A25,CONCATENATE("Karaktertúllépés! Kérjük, válaszát maximum ",A25," karakterben foglalja össze!"),CONCATENATE("Még beírható karakterek száma:   ",A25-C25))</f>
        <v>Még beírható karakterek száma:   60</v>
      </c>
      <c r="E25" s="849"/>
      <c r="F25" s="278" t="s">
        <v>260</v>
      </c>
    </row>
    <row r="26" spans="1:6" s="69" customFormat="1" ht="157.5" customHeight="1" thickBot="1">
      <c r="B26" s="103" t="s">
        <v>226</v>
      </c>
      <c r="C26" s="707" t="s">
        <v>640</v>
      </c>
      <c r="D26" s="839" t="s">
        <v>741</v>
      </c>
      <c r="E26" s="840"/>
      <c r="F26" s="250" t="s">
        <v>261</v>
      </c>
    </row>
    <row r="27" spans="1:6" ht="27.75" customHeight="1" thickBot="1">
      <c r="A27" s="231">
        <v>500</v>
      </c>
      <c r="B27" s="46" t="s">
        <v>0</v>
      </c>
      <c r="C27" s="181">
        <f>LEN(C28)+LEN(D28)</f>
        <v>436</v>
      </c>
      <c r="D27" s="848" t="str">
        <f>IF(C27&gt;A27,CONCATENATE("Karaktertúllépés! Kérjük, válaszát maximum ",A27," karakterben foglalja össze!"),CONCATENATE("Még beírható karakterek száma:   ",A27-C27))</f>
        <v>Még beírható karakterek száma:   64</v>
      </c>
      <c r="E27" s="849"/>
      <c r="F27" s="233"/>
    </row>
    <row r="28" spans="1:6" s="69" customFormat="1" ht="160.5" customHeight="1" thickBot="1">
      <c r="B28" s="103" t="s">
        <v>227</v>
      </c>
      <c r="C28" s="707" t="s">
        <v>637</v>
      </c>
      <c r="D28" s="839" t="s">
        <v>738</v>
      </c>
      <c r="E28" s="840"/>
      <c r="F28" s="247" t="s">
        <v>270</v>
      </c>
    </row>
    <row r="29" spans="1:6" ht="27.75" customHeight="1" thickBot="1">
      <c r="A29" s="231">
        <v>500</v>
      </c>
      <c r="B29" s="46" t="s">
        <v>0</v>
      </c>
      <c r="C29" s="181">
        <f>LEN(C30)+LEN(D30)</f>
        <v>215</v>
      </c>
      <c r="D29" s="848" t="str">
        <f>IF(C29&gt;A29,CONCATENATE("Karaktertúllépés! Kérjük, válaszát maximum ",A29," karakterben foglalja össze!"),CONCATENATE("Még beírható karakterek száma:   ",A29-C29))</f>
        <v>Még beírható karakterek száma:   285</v>
      </c>
      <c r="E29" s="849"/>
      <c r="F29" s="233"/>
    </row>
    <row r="30" spans="1:6" s="69" customFormat="1" ht="147.75" customHeight="1" thickBot="1">
      <c r="B30" s="103" t="s">
        <v>229</v>
      </c>
      <c r="C30" s="722" t="s">
        <v>739</v>
      </c>
      <c r="D30" s="839" t="s">
        <v>740</v>
      </c>
      <c r="E30" s="840"/>
      <c r="F30" s="247" t="s">
        <v>400</v>
      </c>
    </row>
    <row r="31" spans="1:6" ht="24.75" customHeight="1" thickBot="1">
      <c r="A31" s="231">
        <v>500</v>
      </c>
      <c r="B31" s="46" t="s">
        <v>0</v>
      </c>
      <c r="C31" s="181">
        <f>LEN(C32)+LEN(D32)</f>
        <v>272</v>
      </c>
      <c r="D31" s="848" t="str">
        <f>IF(C31&gt;A31,CONCATENATE("Karaktertúllépés! Kérjük, válaszát maximum ",A31," karakterben foglalja össze!"),CONCATENATE("Még beírható karakterek száma:   ",A31-C31))</f>
        <v>Még beírható karakterek száma:   228</v>
      </c>
      <c r="E31" s="849"/>
      <c r="F31" s="233"/>
    </row>
    <row r="32" spans="1:6" s="69" customFormat="1" ht="150.75" customHeight="1" thickBot="1">
      <c r="B32" s="103" t="s">
        <v>228</v>
      </c>
      <c r="C32" s="712" t="s">
        <v>638</v>
      </c>
      <c r="D32" s="839" t="s">
        <v>737</v>
      </c>
      <c r="E32" s="840"/>
      <c r="F32" s="251" t="s">
        <v>401</v>
      </c>
    </row>
    <row r="33" spans="2:6" ht="18.75" customHeight="1">
      <c r="B33" s="86"/>
    </row>
    <row r="34" spans="2:6" ht="11.25" hidden="1" customHeight="1">
      <c r="B34" s="86"/>
    </row>
    <row r="35" spans="2:6" ht="44.25" hidden="1" customHeight="1" thickBot="1">
      <c r="B35" s="854" t="s">
        <v>318</v>
      </c>
      <c r="C35" s="854"/>
      <c r="D35" s="854"/>
      <c r="E35" s="854"/>
      <c r="F35" s="112"/>
    </row>
    <row r="36" spans="2:6" ht="57" hidden="1" customHeight="1" thickBot="1">
      <c r="B36" s="98" t="s">
        <v>27</v>
      </c>
      <c r="C36" s="839"/>
      <c r="D36" s="845"/>
      <c r="E36" s="840"/>
      <c r="F36" s="141"/>
    </row>
    <row r="37" spans="2:6" ht="50.25" hidden="1" customHeight="1" thickBot="1">
      <c r="B37" s="84" t="s">
        <v>316</v>
      </c>
      <c r="C37" s="839"/>
      <c r="D37" s="845"/>
      <c r="E37" s="840"/>
      <c r="F37" s="93"/>
    </row>
    <row r="38" spans="2:6" ht="53.25" hidden="1" customHeight="1" thickBot="1">
      <c r="B38" s="84" t="s">
        <v>317</v>
      </c>
      <c r="C38" s="839"/>
      <c r="D38" s="845"/>
      <c r="E38" s="840"/>
      <c r="F38" s="93"/>
    </row>
    <row r="39" spans="2:6" ht="33" hidden="1" customHeight="1" thickBot="1">
      <c r="B39" s="84" t="s">
        <v>28</v>
      </c>
      <c r="C39" s="839"/>
      <c r="D39" s="845"/>
      <c r="E39" s="840"/>
      <c r="F39" s="93"/>
    </row>
    <row r="40" spans="2:6" ht="33" hidden="1" customHeight="1" thickBot="1">
      <c r="B40" s="84" t="s">
        <v>29</v>
      </c>
      <c r="C40" s="839"/>
      <c r="D40" s="845"/>
      <c r="E40" s="840"/>
      <c r="F40" s="93"/>
    </row>
    <row r="41" spans="2:6" ht="33" hidden="1" customHeight="1" thickBot="1">
      <c r="B41" s="84" t="s">
        <v>30</v>
      </c>
      <c r="C41" s="839"/>
      <c r="D41" s="845"/>
      <c r="E41" s="840"/>
      <c r="F41" s="93"/>
    </row>
    <row r="42" spans="2:6" ht="54.75" hidden="1" customHeight="1" thickBot="1">
      <c r="B42" s="84" t="s">
        <v>31</v>
      </c>
      <c r="C42" s="839"/>
      <c r="D42" s="845"/>
      <c r="E42" s="840"/>
      <c r="F42" s="93"/>
    </row>
    <row r="43" spans="2:6" ht="9" hidden="1" customHeight="1">
      <c r="B43" s="109"/>
      <c r="C43" s="145"/>
      <c r="D43" s="145"/>
      <c r="E43" s="145"/>
      <c r="F43" s="93"/>
    </row>
    <row r="44" spans="2:6" ht="33.75" hidden="1" customHeight="1" thickBot="1">
      <c r="B44" s="87" t="s">
        <v>32</v>
      </c>
      <c r="F44" s="93"/>
    </row>
    <row r="45" spans="2:6" ht="36" hidden="1" customHeight="1" thickBot="1">
      <c r="B45" s="84" t="s">
        <v>27</v>
      </c>
      <c r="C45" s="839">
        <f>C36</f>
        <v>0</v>
      </c>
      <c r="D45" s="845"/>
      <c r="E45" s="845"/>
      <c r="F45" s="95"/>
    </row>
    <row r="46" spans="2:6" ht="18" hidden="1" customHeight="1" thickBot="1">
      <c r="B46" s="99"/>
      <c r="F46" s="93"/>
    </row>
    <row r="47" spans="2:6" ht="25.5" hidden="1" customHeight="1" thickBot="1">
      <c r="B47" s="100" t="s">
        <v>0</v>
      </c>
      <c r="C47" s="144">
        <f>LEN(C48)</f>
        <v>0</v>
      </c>
      <c r="D47" s="90"/>
      <c r="E47" s="101"/>
      <c r="F47" s="93"/>
    </row>
    <row r="48" spans="2:6" ht="94.5" hidden="1" customHeight="1" thickBot="1">
      <c r="B48" s="84" t="s">
        <v>269</v>
      </c>
      <c r="C48" s="839"/>
      <c r="D48" s="845"/>
      <c r="E48" s="840"/>
      <c r="F48" s="93"/>
    </row>
    <row r="49" spans="2:6" ht="18" hidden="1" customHeight="1" thickBot="1">
      <c r="B49" s="86"/>
      <c r="F49" s="93"/>
    </row>
    <row r="50" spans="2:6" ht="25.5" hidden="1" customHeight="1" thickBot="1">
      <c r="B50" s="100" t="s">
        <v>0</v>
      </c>
      <c r="C50" s="144">
        <f>LEN(C51)</f>
        <v>0</v>
      </c>
      <c r="D50" s="90"/>
      <c r="E50" s="91"/>
      <c r="F50" s="93"/>
    </row>
    <row r="51" spans="2:6" ht="123.75" hidden="1" customHeight="1" thickBot="1">
      <c r="B51" s="98" t="s">
        <v>37</v>
      </c>
      <c r="C51" s="839"/>
      <c r="D51" s="845"/>
      <c r="E51" s="840"/>
      <c r="F51" s="93"/>
    </row>
    <row r="52" spans="2:6" ht="24" hidden="1" customHeight="1" thickBot="1">
      <c r="B52" s="86"/>
      <c r="F52" s="93"/>
    </row>
    <row r="53" spans="2:6" ht="42" hidden="1" customHeight="1">
      <c r="B53" s="843" t="s">
        <v>33</v>
      </c>
      <c r="C53" s="115" t="s">
        <v>122</v>
      </c>
      <c r="D53" s="755" t="s">
        <v>230</v>
      </c>
      <c r="E53" s="763"/>
      <c r="F53" s="93"/>
    </row>
    <row r="54" spans="2:6" ht="48.75" hidden="1" customHeight="1" thickBot="1">
      <c r="B54" s="844"/>
      <c r="C54" s="142"/>
      <c r="D54" s="855"/>
      <c r="E54" s="856"/>
      <c r="F54" s="93"/>
    </row>
    <row r="55" spans="2:6" ht="35.25" hidden="1" customHeight="1">
      <c r="B55" s="86"/>
      <c r="F55" s="93"/>
    </row>
    <row r="56" spans="2:6" ht="25.5" hidden="1" customHeight="1" thickBot="1">
      <c r="B56" s="87" t="s">
        <v>34</v>
      </c>
      <c r="F56" s="852"/>
    </row>
    <row r="57" spans="2:6" ht="76.5" hidden="1" customHeight="1" thickBot="1">
      <c r="B57" s="102"/>
      <c r="C57" s="116" t="s">
        <v>35</v>
      </c>
      <c r="D57" s="841" t="s">
        <v>36</v>
      </c>
      <c r="E57" s="842"/>
      <c r="F57" s="853"/>
    </row>
    <row r="58" spans="2:6" ht="28.5" hidden="1" customHeight="1" thickBot="1">
      <c r="B58" s="100" t="s">
        <v>0</v>
      </c>
      <c r="C58" s="89">
        <f>LEN(C59)+LEN(D59)</f>
        <v>0</v>
      </c>
      <c r="D58" s="90"/>
      <c r="E58" s="101"/>
      <c r="F58" s="104"/>
    </row>
    <row r="59" spans="2:6" s="118" customFormat="1" ht="159" hidden="1" customHeight="1" thickBot="1">
      <c r="B59" s="103" t="s">
        <v>226</v>
      </c>
      <c r="C59" s="143"/>
      <c r="D59" s="839"/>
      <c r="E59" s="840"/>
      <c r="F59" s="81"/>
    </row>
    <row r="60" spans="2:6" ht="25.5" hidden="1" customHeight="1" thickBot="1">
      <c r="B60" s="100" t="s">
        <v>0</v>
      </c>
      <c r="C60" s="89">
        <f>LEN(C61)+LEN(D61)</f>
        <v>0</v>
      </c>
      <c r="D60" s="90"/>
      <c r="E60" s="101"/>
      <c r="F60" s="79"/>
    </row>
    <row r="61" spans="2:6" s="118" customFormat="1" ht="159" hidden="1" customHeight="1" thickBot="1">
      <c r="B61" s="103" t="s">
        <v>227</v>
      </c>
      <c r="C61" s="143"/>
      <c r="D61" s="839"/>
      <c r="E61" s="840"/>
      <c r="F61" s="80"/>
    </row>
    <row r="62" spans="2:6" ht="25.5" hidden="1" customHeight="1" thickBot="1">
      <c r="B62" s="100" t="s">
        <v>0</v>
      </c>
      <c r="C62" s="89">
        <f>LEN(C63)+LEN(D63)</f>
        <v>0</v>
      </c>
      <c r="D62" s="90"/>
      <c r="E62" s="101"/>
      <c r="F62" s="79"/>
    </row>
    <row r="63" spans="2:6" s="118" customFormat="1" ht="160.5" hidden="1" customHeight="1" thickBot="1">
      <c r="B63" s="103" t="s">
        <v>229</v>
      </c>
      <c r="C63" s="143"/>
      <c r="D63" s="839"/>
      <c r="E63" s="840"/>
      <c r="F63" s="80"/>
    </row>
    <row r="64" spans="2:6" ht="25.5" hidden="1" customHeight="1" thickBot="1">
      <c r="B64" s="100" t="s">
        <v>0</v>
      </c>
      <c r="C64" s="89">
        <f>LEN(C65)+LEN(D65)</f>
        <v>0</v>
      </c>
      <c r="D64" s="90"/>
      <c r="E64" s="101"/>
      <c r="F64" s="79"/>
    </row>
    <row r="65" spans="2:6" s="118" customFormat="1" ht="159" hidden="1" customHeight="1" thickBot="1">
      <c r="B65" s="103" t="s">
        <v>228</v>
      </c>
      <c r="C65" s="143"/>
      <c r="D65" s="839"/>
      <c r="E65" s="840"/>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81"/>
  <sheetViews>
    <sheetView view="pageBreakPreview" topLeftCell="B58" zoomScale="70" zoomScaleNormal="70" zoomScaleSheetLayoutView="70" workbookViewId="0">
      <selection activeCell="C13" sqref="C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9" t="s">
        <v>240</v>
      </c>
      <c r="C1" s="860"/>
      <c r="D1" s="860"/>
      <c r="E1" s="860"/>
      <c r="F1" s="860"/>
      <c r="G1" s="861"/>
      <c r="H1" s="254" t="s">
        <v>204</v>
      </c>
    </row>
    <row r="2" spans="1:8" ht="30" customHeight="1" thickBot="1">
      <c r="A2" s="4"/>
      <c r="B2" s="364" t="s">
        <v>39</v>
      </c>
      <c r="C2" s="123"/>
      <c r="D2" s="123"/>
      <c r="E2" s="123"/>
      <c r="F2" s="123"/>
      <c r="G2" s="365"/>
      <c r="H2" s="127" t="s">
        <v>281</v>
      </c>
    </row>
    <row r="3" spans="1:8" s="107" customFormat="1" ht="45.75" customHeight="1" thickBot="1">
      <c r="A3" s="168"/>
      <c r="B3" s="366"/>
      <c r="C3" s="58" t="s">
        <v>40</v>
      </c>
      <c r="D3" s="58" t="s">
        <v>41</v>
      </c>
      <c r="E3" s="58" t="s">
        <v>59</v>
      </c>
      <c r="F3" s="327" t="s">
        <v>42</v>
      </c>
      <c r="G3" s="367" t="s">
        <v>60</v>
      </c>
      <c r="H3" s="865" t="s">
        <v>376</v>
      </c>
    </row>
    <row r="4" spans="1:8" ht="30" customHeight="1" thickBot="1">
      <c r="A4" s="4"/>
      <c r="B4" s="368" t="s">
        <v>43</v>
      </c>
      <c r="C4" s="188" t="s">
        <v>303</v>
      </c>
      <c r="D4" s="165"/>
      <c r="E4" s="165"/>
      <c r="F4" s="165"/>
      <c r="G4" s="369">
        <f>SUM(G5:G16)</f>
        <v>260000</v>
      </c>
      <c r="H4" s="866"/>
    </row>
    <row r="5" spans="1:8" ht="45" customHeight="1" thickBot="1">
      <c r="A5" s="4"/>
      <c r="B5" s="370" t="s">
        <v>44</v>
      </c>
      <c r="C5" s="210"/>
      <c r="D5" s="147"/>
      <c r="E5" s="147"/>
      <c r="F5" s="706"/>
      <c r="G5" s="371"/>
      <c r="H5" s="866"/>
    </row>
    <row r="6" spans="1:8" ht="45" hidden="1" customHeight="1">
      <c r="A6" s="4"/>
      <c r="B6" s="372" t="s">
        <v>44</v>
      </c>
      <c r="C6" s="211"/>
      <c r="D6" s="146"/>
      <c r="E6" s="146"/>
      <c r="F6" s="146"/>
      <c r="G6" s="373"/>
      <c r="H6" s="866"/>
    </row>
    <row r="7" spans="1:8" ht="45" hidden="1" customHeight="1">
      <c r="A7" s="4"/>
      <c r="B7" s="372" t="s">
        <v>44</v>
      </c>
      <c r="C7" s="211"/>
      <c r="D7" s="146"/>
      <c r="E7" s="146"/>
      <c r="F7" s="146"/>
      <c r="G7" s="373"/>
      <c r="H7" s="866"/>
    </row>
    <row r="8" spans="1:8" ht="45" hidden="1" customHeight="1" thickBot="1">
      <c r="A8" s="4"/>
      <c r="B8" s="374" t="s">
        <v>44</v>
      </c>
      <c r="C8" s="212"/>
      <c r="D8" s="149"/>
      <c r="E8" s="149"/>
      <c r="F8" s="149"/>
      <c r="G8" s="375"/>
      <c r="H8" s="866"/>
    </row>
    <row r="9" spans="1:8" ht="45" customHeight="1" thickBot="1">
      <c r="A9" s="4"/>
      <c r="B9" s="370" t="s">
        <v>61</v>
      </c>
      <c r="C9" s="210" t="s">
        <v>761</v>
      </c>
      <c r="D9" s="147"/>
      <c r="E9" s="147"/>
      <c r="F9" s="147"/>
      <c r="G9" s="371">
        <v>40000</v>
      </c>
      <c r="H9" s="866"/>
    </row>
    <row r="10" spans="1:8" ht="45" hidden="1" customHeight="1">
      <c r="A10" s="4"/>
      <c r="B10" s="372" t="s">
        <v>61</v>
      </c>
      <c r="C10" s="211"/>
      <c r="D10" s="146"/>
      <c r="E10" s="146"/>
      <c r="F10" s="146"/>
      <c r="G10" s="373"/>
      <c r="H10" s="866"/>
    </row>
    <row r="11" spans="1:8" ht="45" hidden="1" customHeight="1">
      <c r="A11" s="4"/>
      <c r="B11" s="372" t="s">
        <v>61</v>
      </c>
      <c r="C11" s="211"/>
      <c r="D11" s="146"/>
      <c r="E11" s="146"/>
      <c r="F11" s="146"/>
      <c r="G11" s="373"/>
      <c r="H11" s="866"/>
    </row>
    <row r="12" spans="1:8" ht="45" hidden="1" customHeight="1" thickBot="1">
      <c r="A12" s="4"/>
      <c r="B12" s="374" t="s">
        <v>61</v>
      </c>
      <c r="C12" s="212"/>
      <c r="D12" s="149"/>
      <c r="E12" s="149"/>
      <c r="F12" s="149"/>
      <c r="G12" s="375"/>
      <c r="H12" s="866"/>
    </row>
    <row r="13" spans="1:8" ht="45" customHeight="1" thickBot="1">
      <c r="A13" s="4"/>
      <c r="B13" s="370" t="s">
        <v>62</v>
      </c>
      <c r="C13" s="213" t="s">
        <v>762</v>
      </c>
      <c r="D13" s="214" t="s">
        <v>763</v>
      </c>
      <c r="E13" s="214" t="s">
        <v>620</v>
      </c>
      <c r="F13" s="714">
        <v>43251</v>
      </c>
      <c r="G13" s="376">
        <v>220000</v>
      </c>
      <c r="H13" s="866"/>
    </row>
    <row r="14" spans="1:8" ht="45" hidden="1" customHeight="1">
      <c r="A14" s="4"/>
      <c r="B14" s="377" t="s">
        <v>62</v>
      </c>
      <c r="C14" s="209"/>
      <c r="D14" s="209"/>
      <c r="E14" s="209"/>
      <c r="F14" s="209"/>
      <c r="G14" s="378"/>
      <c r="H14" s="866"/>
    </row>
    <row r="15" spans="1:8" ht="45" hidden="1" customHeight="1">
      <c r="A15" s="4"/>
      <c r="B15" s="377" t="s">
        <v>62</v>
      </c>
      <c r="C15" s="146"/>
      <c r="D15" s="146"/>
      <c r="E15" s="146"/>
      <c r="F15" s="146"/>
      <c r="G15" s="373"/>
      <c r="H15" s="866"/>
    </row>
    <row r="16" spans="1:8" ht="45" hidden="1" customHeight="1" thickBot="1">
      <c r="A16" s="4"/>
      <c r="B16" s="379" t="s">
        <v>62</v>
      </c>
      <c r="C16" s="148"/>
      <c r="D16" s="148"/>
      <c r="E16" s="148"/>
      <c r="F16" s="148"/>
      <c r="G16" s="380"/>
      <c r="H16" s="866"/>
    </row>
    <row r="17" spans="1:8" ht="31.5" customHeight="1" thickBot="1">
      <c r="A17" s="4"/>
      <c r="B17" s="353" t="s">
        <v>45</v>
      </c>
      <c r="C17" s="188" t="s">
        <v>303</v>
      </c>
      <c r="D17" s="163"/>
      <c r="E17" s="163"/>
      <c r="F17" s="163"/>
      <c r="G17" s="381">
        <f>SUM(G18:G34)</f>
        <v>412000</v>
      </c>
      <c r="H17" s="866"/>
    </row>
    <row r="18" spans="1:8" ht="44.25" customHeight="1" thickBot="1">
      <c r="A18" s="4"/>
      <c r="B18" s="370" t="s">
        <v>46</v>
      </c>
      <c r="C18" s="210" t="s">
        <v>642</v>
      </c>
      <c r="D18" s="147" t="s">
        <v>643</v>
      </c>
      <c r="E18" s="147" t="s">
        <v>644</v>
      </c>
      <c r="F18" s="706">
        <v>43222</v>
      </c>
      <c r="G18" s="371" t="s">
        <v>718</v>
      </c>
      <c r="H18" s="866"/>
    </row>
    <row r="19" spans="1:8" ht="44.25" hidden="1" customHeight="1">
      <c r="A19" s="4"/>
      <c r="B19" s="372" t="s">
        <v>46</v>
      </c>
      <c r="C19" s="211"/>
      <c r="D19" s="146"/>
      <c r="E19" s="146"/>
      <c r="F19" s="146"/>
      <c r="G19" s="373"/>
      <c r="H19" s="866"/>
    </row>
    <row r="20" spans="1:8" ht="44.25" hidden="1" customHeight="1">
      <c r="A20" s="4"/>
      <c r="B20" s="372" t="s">
        <v>46</v>
      </c>
      <c r="C20" s="211"/>
      <c r="D20" s="146"/>
      <c r="E20" s="146"/>
      <c r="F20" s="146"/>
      <c r="G20" s="373"/>
      <c r="H20" s="866"/>
    </row>
    <row r="21" spans="1:8" ht="44.25" hidden="1" customHeight="1" thickBot="1">
      <c r="A21" s="4"/>
      <c r="B21" s="374" t="s">
        <v>46</v>
      </c>
      <c r="C21" s="212"/>
      <c r="D21" s="149"/>
      <c r="E21" s="149"/>
      <c r="F21" s="149"/>
      <c r="G21" s="375"/>
      <c r="H21" s="866"/>
    </row>
    <row r="22" spans="1:8" ht="48.75" customHeight="1" thickBot="1">
      <c r="A22" s="4"/>
      <c r="B22" s="370" t="s">
        <v>218</v>
      </c>
      <c r="C22" s="210" t="s">
        <v>727</v>
      </c>
      <c r="D22" s="147"/>
      <c r="E22" s="147" t="s">
        <v>619</v>
      </c>
      <c r="F22" s="706">
        <v>43251</v>
      </c>
      <c r="G22" s="371">
        <v>412000</v>
      </c>
      <c r="H22" s="866"/>
    </row>
    <row r="23" spans="1:8" ht="44.25" hidden="1" customHeight="1">
      <c r="A23" s="4"/>
      <c r="B23" s="372" t="s">
        <v>218</v>
      </c>
      <c r="C23" s="211"/>
      <c r="D23" s="146"/>
      <c r="E23" s="146"/>
      <c r="F23" s="146"/>
      <c r="G23" s="373"/>
      <c r="H23" s="866"/>
    </row>
    <row r="24" spans="1:8" ht="44.25" hidden="1" customHeight="1">
      <c r="A24" s="4"/>
      <c r="B24" s="372" t="s">
        <v>218</v>
      </c>
      <c r="C24" s="211"/>
      <c r="D24" s="146"/>
      <c r="E24" s="146"/>
      <c r="F24" s="146"/>
      <c r="G24" s="373"/>
      <c r="H24" s="866"/>
    </row>
    <row r="25" spans="1:8" ht="44.25" hidden="1" customHeight="1" thickBot="1">
      <c r="A25" s="4"/>
      <c r="B25" s="374" t="s">
        <v>218</v>
      </c>
      <c r="C25" s="212"/>
      <c r="D25" s="149"/>
      <c r="E25" s="149"/>
      <c r="F25" s="149"/>
      <c r="G25" s="375"/>
      <c r="H25" s="866"/>
    </row>
    <row r="26" spans="1:8" ht="44.25" customHeight="1" thickBot="1">
      <c r="A26" s="4"/>
      <c r="B26" s="370" t="s">
        <v>47</v>
      </c>
      <c r="C26" s="210"/>
      <c r="D26" s="147"/>
      <c r="E26" s="147"/>
      <c r="F26" s="706"/>
      <c r="G26" s="371"/>
      <c r="H26" s="866"/>
    </row>
    <row r="27" spans="1:8" ht="44.25" hidden="1" customHeight="1">
      <c r="A27" s="4"/>
      <c r="B27" s="372" t="s">
        <v>47</v>
      </c>
      <c r="C27" s="211"/>
      <c r="D27" s="146"/>
      <c r="E27" s="146"/>
      <c r="F27" s="146"/>
      <c r="G27" s="373"/>
      <c r="H27" s="866"/>
    </row>
    <row r="28" spans="1:8" ht="44.25" hidden="1" customHeight="1">
      <c r="A28" s="4"/>
      <c r="B28" s="372" t="s">
        <v>47</v>
      </c>
      <c r="C28" s="211"/>
      <c r="D28" s="146"/>
      <c r="E28" s="146"/>
      <c r="F28" s="146"/>
      <c r="G28" s="373"/>
      <c r="H28" s="866"/>
    </row>
    <row r="29" spans="1:8" ht="44.25" hidden="1" customHeight="1" thickBot="1">
      <c r="A29" s="4"/>
      <c r="B29" s="374" t="s">
        <v>47</v>
      </c>
      <c r="C29" s="212"/>
      <c r="D29" s="149"/>
      <c r="E29" s="149"/>
      <c r="F29" s="149"/>
      <c r="G29" s="375"/>
      <c r="H29" s="866"/>
    </row>
    <row r="30" spans="1:8" ht="44.25" customHeight="1" thickBot="1">
      <c r="A30" s="4"/>
      <c r="B30" s="382" t="s">
        <v>48</v>
      </c>
      <c r="C30" s="213"/>
      <c r="D30" s="214"/>
      <c r="E30" s="214"/>
      <c r="F30" s="214"/>
      <c r="G30" s="376"/>
      <c r="H30" s="866"/>
    </row>
    <row r="31" spans="1:8" ht="44.25" hidden="1" customHeight="1">
      <c r="A31" s="4"/>
      <c r="B31" s="383" t="s">
        <v>48</v>
      </c>
      <c r="C31" s="209"/>
      <c r="D31" s="209"/>
      <c r="E31" s="209"/>
      <c r="F31" s="209"/>
      <c r="G31" s="378"/>
      <c r="H31" s="866"/>
    </row>
    <row r="32" spans="1:8" ht="44.25" hidden="1" customHeight="1">
      <c r="A32" s="4"/>
      <c r="B32" s="384" t="s">
        <v>48</v>
      </c>
      <c r="C32" s="146"/>
      <c r="D32" s="146"/>
      <c r="E32" s="146"/>
      <c r="F32" s="146"/>
      <c r="G32" s="373"/>
      <c r="H32" s="866"/>
    </row>
    <row r="33" spans="1:8" ht="44.25" hidden="1" customHeight="1" thickBot="1">
      <c r="A33" s="4"/>
      <c r="B33" s="385" t="s">
        <v>48</v>
      </c>
      <c r="C33" s="148"/>
      <c r="D33" s="148"/>
      <c r="E33" s="148"/>
      <c r="F33" s="148"/>
      <c r="G33" s="380"/>
      <c r="H33" s="867"/>
    </row>
    <row r="34" spans="1:8" ht="16.5" customHeight="1" thickBot="1">
      <c r="A34" s="4"/>
      <c r="B34" s="386"/>
      <c r="C34" s="36"/>
      <c r="D34" s="36"/>
      <c r="E34" s="36"/>
      <c r="F34" s="36"/>
      <c r="G34" s="387"/>
      <c r="H34" s="363"/>
    </row>
    <row r="35" spans="1:8" ht="88.5" customHeight="1" thickBot="1">
      <c r="A35" s="4"/>
      <c r="B35" s="388" t="s">
        <v>49</v>
      </c>
      <c r="C35" s="862" t="s">
        <v>621</v>
      </c>
      <c r="D35" s="863"/>
      <c r="E35" s="863"/>
      <c r="F35" s="863"/>
      <c r="G35" s="864"/>
      <c r="H35" s="233"/>
    </row>
    <row r="36" spans="1:8" ht="15.75" customHeight="1" thickTop="1" thickBot="1">
      <c r="A36" s="4"/>
      <c r="B36" s="235"/>
      <c r="C36" s="70"/>
      <c r="D36" s="70"/>
      <c r="E36" s="70"/>
      <c r="F36" s="70"/>
      <c r="G36" s="236"/>
      <c r="H36" s="332"/>
    </row>
    <row r="37" spans="1:8" ht="53.25" customHeight="1" thickTop="1" thickBot="1">
      <c r="A37" s="4"/>
      <c r="B37" s="889" t="s">
        <v>50</v>
      </c>
      <c r="C37" s="890"/>
      <c r="D37" s="890"/>
      <c r="E37" s="890"/>
      <c r="F37" s="890"/>
      <c r="G37" s="891"/>
      <c r="H37" s="255" t="s">
        <v>273</v>
      </c>
    </row>
    <row r="38" spans="1:8" ht="35.25" customHeight="1" thickBot="1">
      <c r="A38" s="180">
        <v>3000</v>
      </c>
      <c r="B38" s="362" t="s">
        <v>0</v>
      </c>
      <c r="C38" s="144">
        <f>LEN(C39)</f>
        <v>12</v>
      </c>
      <c r="D38" s="739" t="str">
        <f>IF(C38&gt;A38,CONCATENATE("Karaktertúllépés! Kérjük, válaszát maximum ",A38," karakterben foglalja össze!"),CONCATENATE("Még beírható karakterek száma:   ",A38-C38))</f>
        <v>Még beírható karakterek száma:   2988</v>
      </c>
      <c r="E38" s="803"/>
      <c r="F38" s="803"/>
      <c r="G38" s="888"/>
      <c r="H38" s="256"/>
    </row>
    <row r="39" spans="1:8" ht="270.75" customHeight="1">
      <c r="A39" s="4"/>
      <c r="B39" s="868" t="s">
        <v>217</v>
      </c>
      <c r="C39" s="870" t="s">
        <v>370</v>
      </c>
      <c r="D39" s="871"/>
      <c r="E39" s="871"/>
      <c r="F39" s="871"/>
      <c r="G39" s="872"/>
      <c r="H39" s="825" t="s">
        <v>377</v>
      </c>
    </row>
    <row r="40" spans="1:8" ht="315" customHeight="1" thickBot="1">
      <c r="A40" s="4"/>
      <c r="B40" s="869"/>
      <c r="C40" s="873"/>
      <c r="D40" s="874"/>
      <c r="E40" s="874"/>
      <c r="F40" s="874"/>
      <c r="G40" s="875"/>
      <c r="H40" s="827"/>
    </row>
    <row r="41" spans="1:8" ht="11.25" customHeight="1" thickTop="1" thickBot="1">
      <c r="A41" s="4"/>
      <c r="B41" s="235"/>
      <c r="C41" s="70"/>
      <c r="D41" s="70"/>
      <c r="E41" s="70"/>
      <c r="F41" s="70"/>
      <c r="G41" s="236"/>
      <c r="H41" s="93"/>
    </row>
    <row r="42" spans="1:8" ht="35.25" customHeight="1" thickTop="1" thickBot="1">
      <c r="A42" s="180">
        <v>3000</v>
      </c>
      <c r="B42" s="360" t="s">
        <v>0</v>
      </c>
      <c r="C42" s="361">
        <f>LEN(C43)</f>
        <v>2915</v>
      </c>
      <c r="D42" s="885" t="str">
        <f>IF(C42&gt;A42,CONCATENATE("Karaktertúllépés! Kérjük, válaszát maximum ",A42," karakterben foglalja össze!"),CONCATENATE("Még beírható karakterek száma:   ",A42-C42))</f>
        <v>Még beírható karakterek száma:   85</v>
      </c>
      <c r="E42" s="886"/>
      <c r="F42" s="886"/>
      <c r="G42" s="887"/>
      <c r="H42" s="256"/>
    </row>
    <row r="43" spans="1:8" ht="243.75" customHeight="1">
      <c r="A43" s="4"/>
      <c r="B43" s="868" t="s">
        <v>63</v>
      </c>
      <c r="C43" s="876" t="s">
        <v>742</v>
      </c>
      <c r="D43" s="877"/>
      <c r="E43" s="877"/>
      <c r="F43" s="877"/>
      <c r="G43" s="878"/>
      <c r="H43" s="93"/>
    </row>
    <row r="44" spans="1:8" ht="360" customHeight="1" thickBot="1">
      <c r="A44" s="4"/>
      <c r="B44" s="869"/>
      <c r="C44" s="879"/>
      <c r="D44" s="880"/>
      <c r="E44" s="880"/>
      <c r="F44" s="880"/>
      <c r="G44" s="881"/>
      <c r="H44" s="93"/>
    </row>
    <row r="45" spans="1:8" ht="17.25" thickTop="1" thickBot="1">
      <c r="A45" s="4"/>
      <c r="B45" s="235"/>
      <c r="C45" s="70"/>
      <c r="D45" s="70"/>
      <c r="E45" s="70"/>
      <c r="F45" s="70"/>
      <c r="G45" s="236"/>
      <c r="H45" s="93"/>
    </row>
    <row r="46" spans="1:8" ht="30" customHeight="1">
      <c r="A46" s="4"/>
      <c r="B46" s="259" t="s">
        <v>51</v>
      </c>
      <c r="C46" s="260"/>
      <c r="D46" s="260"/>
      <c r="E46" s="260"/>
      <c r="F46" s="260"/>
      <c r="G46" s="261"/>
      <c r="H46" s="94"/>
    </row>
    <row r="47" spans="1:8" ht="16.5" thickBot="1">
      <c r="A47" s="4"/>
      <c r="B47" s="262" t="s">
        <v>219</v>
      </c>
      <c r="C47" s="237"/>
      <c r="D47" s="237"/>
      <c r="E47" s="237"/>
      <c r="F47" s="237"/>
      <c r="G47" s="238"/>
      <c r="H47" s="94"/>
    </row>
    <row r="48" spans="1:8" ht="35.25" customHeight="1" thickBot="1">
      <c r="A48" s="180">
        <v>1000</v>
      </c>
      <c r="B48" s="108" t="s">
        <v>0</v>
      </c>
      <c r="C48" s="144">
        <f>LEN(C49)</f>
        <v>399</v>
      </c>
      <c r="D48" s="739" t="str">
        <f>IF(C48&gt;A48,CONCATENATE("Karaktertúllépés! Kérjük, válaszát maximum ",A48," karakterben foglalja össze!"),CONCATENATE("Még beírható karakterek száma:   ",A48-C48))</f>
        <v>Még beírható karakterek száma:   601</v>
      </c>
      <c r="E48" s="803"/>
      <c r="F48" s="803"/>
      <c r="G48" s="740"/>
      <c r="H48" s="255"/>
    </row>
    <row r="49" spans="1:8" ht="201.75" customHeight="1" thickBot="1">
      <c r="A49" s="4"/>
      <c r="B49" s="160" t="s">
        <v>272</v>
      </c>
      <c r="C49" s="882" t="s">
        <v>759</v>
      </c>
      <c r="D49" s="883"/>
      <c r="E49" s="883"/>
      <c r="F49" s="883"/>
      <c r="G49" s="884"/>
      <c r="H49" s="257" t="s">
        <v>274</v>
      </c>
    </row>
    <row r="50" spans="1:8" ht="21.75" customHeight="1" thickBot="1">
      <c r="A50" s="4"/>
      <c r="B50" s="235"/>
      <c r="C50" s="70"/>
      <c r="D50" s="70"/>
      <c r="E50" s="70"/>
      <c r="F50" s="70"/>
      <c r="G50" s="236"/>
      <c r="H50" s="93"/>
    </row>
    <row r="51" spans="1:8" ht="23.25" customHeight="1" thickTop="1">
      <c r="A51" s="4"/>
      <c r="B51" s="348" t="s">
        <v>52</v>
      </c>
      <c r="C51" s="349"/>
      <c r="D51" s="349"/>
      <c r="E51" s="349"/>
      <c r="F51" s="349"/>
      <c r="G51" s="350"/>
      <c r="H51" s="96"/>
    </row>
    <row r="52" spans="1:8" ht="22.5" customHeight="1" thickBot="1">
      <c r="A52" s="4"/>
      <c r="B52" s="351" t="s">
        <v>53</v>
      </c>
      <c r="C52" s="167"/>
      <c r="D52" s="167"/>
      <c r="E52" s="167"/>
      <c r="F52" s="167"/>
      <c r="G52" s="352"/>
      <c r="H52" s="94"/>
    </row>
    <row r="53" spans="1:8" ht="87" customHeight="1" thickBot="1">
      <c r="A53" s="4"/>
      <c r="B53" s="353" t="s">
        <v>54</v>
      </c>
      <c r="C53" s="161" t="s">
        <v>13</v>
      </c>
      <c r="D53" s="161" t="s">
        <v>55</v>
      </c>
      <c r="E53" s="328" t="s">
        <v>275</v>
      </c>
      <c r="F53" s="328" t="s">
        <v>278</v>
      </c>
      <c r="G53" s="354" t="s">
        <v>276</v>
      </c>
      <c r="H53" s="858" t="s">
        <v>402</v>
      </c>
    </row>
    <row r="54" spans="1:8" ht="36" customHeight="1" thickBot="1">
      <c r="A54" s="4"/>
      <c r="B54" s="355" t="s">
        <v>56</v>
      </c>
      <c r="C54" s="220" t="s">
        <v>635</v>
      </c>
      <c r="D54" s="220" t="s">
        <v>622</v>
      </c>
      <c r="E54" s="220" t="s">
        <v>719</v>
      </c>
      <c r="F54" s="220" t="s">
        <v>623</v>
      </c>
      <c r="G54" s="356">
        <v>180500</v>
      </c>
      <c r="H54" s="858"/>
    </row>
    <row r="55" spans="1:8" ht="36" customHeight="1" thickBot="1">
      <c r="A55" s="4"/>
      <c r="B55" s="355"/>
      <c r="C55" s="220"/>
      <c r="D55" s="220"/>
      <c r="E55" s="220"/>
      <c r="F55" s="220"/>
      <c r="G55" s="356"/>
      <c r="H55" s="858"/>
    </row>
    <row r="56" spans="1:8" ht="36" customHeight="1" thickBot="1">
      <c r="A56" s="4"/>
      <c r="B56" s="355"/>
      <c r="C56" s="221"/>
      <c r="D56" s="221"/>
      <c r="E56" s="220"/>
      <c r="F56" s="220"/>
      <c r="G56" s="356"/>
      <c r="H56" s="858"/>
    </row>
    <row r="57" spans="1:8" ht="36" customHeight="1" thickBot="1">
      <c r="A57" s="4"/>
      <c r="B57" s="355"/>
      <c r="C57" s="221"/>
      <c r="D57" s="221"/>
      <c r="E57" s="220"/>
      <c r="F57" s="220"/>
      <c r="G57" s="356"/>
      <c r="H57" s="858"/>
    </row>
    <row r="58" spans="1:8" ht="36" customHeight="1" thickBot="1">
      <c r="A58" s="4"/>
      <c r="B58" s="355"/>
      <c r="C58" s="220"/>
      <c r="D58" s="220"/>
      <c r="E58" s="220"/>
      <c r="F58" s="220"/>
      <c r="G58" s="356"/>
      <c r="H58" s="858"/>
    </row>
    <row r="59" spans="1:8" ht="36" customHeight="1" thickBot="1">
      <c r="A59" s="4"/>
      <c r="B59" s="357"/>
      <c r="C59" s="358"/>
      <c r="D59" s="358"/>
      <c r="E59" s="358"/>
      <c r="F59" s="358"/>
      <c r="G59" s="359"/>
      <c r="H59" s="858"/>
    </row>
    <row r="60" spans="1:8" ht="9" customHeight="1" thickTop="1" thickBot="1">
      <c r="A60" s="4"/>
      <c r="B60" s="241"/>
      <c r="C60" s="74"/>
      <c r="D60" s="74"/>
      <c r="E60" s="74"/>
      <c r="F60" s="74"/>
      <c r="G60" s="258"/>
      <c r="H60" s="93"/>
    </row>
    <row r="61" spans="1:8" ht="30.75" customHeight="1" thickTop="1" thickBot="1">
      <c r="A61" s="4"/>
      <c r="B61" s="337" t="s">
        <v>57</v>
      </c>
      <c r="C61" s="338"/>
      <c r="D61" s="338"/>
      <c r="E61" s="349"/>
      <c r="F61" s="349"/>
      <c r="G61" s="350"/>
      <c r="H61" s="858" t="s">
        <v>277</v>
      </c>
    </row>
    <row r="62" spans="1:8" ht="30" customHeight="1" thickBot="1">
      <c r="A62" s="4"/>
      <c r="B62" s="339"/>
      <c r="C62" s="263">
        <v>2018</v>
      </c>
      <c r="D62" s="264">
        <v>2019</v>
      </c>
      <c r="E62" s="58">
        <v>2020</v>
      </c>
      <c r="F62" s="903">
        <v>2021</v>
      </c>
      <c r="G62" s="903"/>
      <c r="H62" s="858"/>
    </row>
    <row r="63" spans="1:8" ht="36.75" customHeight="1" thickBot="1">
      <c r="A63" s="4"/>
      <c r="B63" s="340" t="s">
        <v>58</v>
      </c>
      <c r="C63" s="221">
        <v>1</v>
      </c>
      <c r="D63" s="543">
        <v>1</v>
      </c>
      <c r="E63" s="544">
        <v>1</v>
      </c>
      <c r="F63" s="904">
        <v>1</v>
      </c>
      <c r="G63" s="904"/>
      <c r="H63" s="858"/>
    </row>
    <row r="64" spans="1:8" ht="36.75" customHeight="1" thickBot="1">
      <c r="A64" s="4"/>
      <c r="B64" s="341"/>
      <c r="C64" s="74"/>
      <c r="D64" s="74"/>
      <c r="E64" s="110"/>
      <c r="F64" s="110"/>
      <c r="G64" s="342"/>
      <c r="H64" s="858"/>
    </row>
    <row r="65" spans="1:8" ht="24" thickBot="1">
      <c r="A65" s="4"/>
      <c r="B65" s="343" t="s">
        <v>254</v>
      </c>
      <c r="C65" s="265"/>
      <c r="D65" s="265"/>
      <c r="E65" s="265"/>
      <c r="F65" s="265"/>
      <c r="G65" s="344"/>
      <c r="H65" s="94"/>
    </row>
    <row r="66" spans="1:8" ht="24.75" customHeight="1" thickBot="1">
      <c r="A66" s="4"/>
      <c r="B66" s="345"/>
      <c r="C66" s="326" t="s">
        <v>319</v>
      </c>
      <c r="D66" s="329" t="s">
        <v>321</v>
      </c>
      <c r="E66" s="894" t="s">
        <v>320</v>
      </c>
      <c r="F66" s="894"/>
      <c r="G66" s="895"/>
      <c r="H66" s="858" t="s">
        <v>378</v>
      </c>
    </row>
    <row r="67" spans="1:8" ht="18" customHeight="1">
      <c r="A67" s="4"/>
      <c r="B67" s="892" t="s">
        <v>253</v>
      </c>
      <c r="C67" s="333" t="s">
        <v>322</v>
      </c>
      <c r="D67" s="334">
        <v>2000</v>
      </c>
      <c r="E67" s="790" t="s">
        <v>701</v>
      </c>
      <c r="F67" s="791"/>
      <c r="G67" s="896"/>
      <c r="H67" s="858"/>
    </row>
    <row r="68" spans="1:8" ht="18" customHeight="1">
      <c r="A68" s="4"/>
      <c r="B68" s="892"/>
      <c r="C68" s="335" t="s">
        <v>323</v>
      </c>
      <c r="D68" s="336">
        <v>6000</v>
      </c>
      <c r="E68" s="897"/>
      <c r="F68" s="898"/>
      <c r="G68" s="899"/>
      <c r="H68" s="858"/>
    </row>
    <row r="69" spans="1:8" ht="18" customHeight="1">
      <c r="A69" s="4"/>
      <c r="B69" s="892"/>
      <c r="C69" s="335" t="s">
        <v>324</v>
      </c>
      <c r="D69" s="336">
        <v>8000</v>
      </c>
      <c r="E69" s="897"/>
      <c r="F69" s="898"/>
      <c r="G69" s="899"/>
      <c r="H69" s="858"/>
    </row>
    <row r="70" spans="1:8" ht="18" customHeight="1">
      <c r="A70" s="4"/>
      <c r="B70" s="892"/>
      <c r="C70" s="335" t="s">
        <v>641</v>
      </c>
      <c r="D70" s="336">
        <v>3000</v>
      </c>
      <c r="E70" s="897"/>
      <c r="F70" s="898"/>
      <c r="G70" s="899"/>
      <c r="H70" s="858"/>
    </row>
    <row r="71" spans="1:8" ht="18" customHeight="1">
      <c r="A71" s="4"/>
      <c r="B71" s="892"/>
      <c r="C71" s="335" t="s">
        <v>765</v>
      </c>
      <c r="D71" s="336">
        <v>10000</v>
      </c>
      <c r="E71" s="897"/>
      <c r="F71" s="898"/>
      <c r="G71" s="899"/>
      <c r="H71" s="858"/>
    </row>
    <row r="72" spans="1:8" ht="18" customHeight="1">
      <c r="A72" s="4"/>
      <c r="B72" s="892"/>
      <c r="C72" s="335" t="s">
        <v>766</v>
      </c>
      <c r="D72" s="336">
        <v>2000</v>
      </c>
      <c r="E72" s="897"/>
      <c r="F72" s="898"/>
      <c r="G72" s="899"/>
      <c r="H72" s="858"/>
    </row>
    <row r="73" spans="1:8" ht="18" customHeight="1">
      <c r="A73" s="4"/>
      <c r="B73" s="892"/>
      <c r="C73" s="335"/>
      <c r="D73" s="336"/>
      <c r="E73" s="897"/>
      <c r="F73" s="898"/>
      <c r="G73" s="899"/>
      <c r="H73" s="858"/>
    </row>
    <row r="74" spans="1:8" ht="18" customHeight="1">
      <c r="A74" s="4"/>
      <c r="B74" s="892"/>
      <c r="C74" s="335"/>
      <c r="D74" s="336"/>
      <c r="E74" s="897"/>
      <c r="F74" s="898"/>
      <c r="G74" s="899"/>
      <c r="H74" s="858"/>
    </row>
    <row r="75" spans="1:8" ht="18" customHeight="1">
      <c r="A75" s="4"/>
      <c r="B75" s="892"/>
      <c r="C75" s="335"/>
      <c r="D75" s="336"/>
      <c r="E75" s="897"/>
      <c r="F75" s="898"/>
      <c r="G75" s="899"/>
      <c r="H75" s="858"/>
    </row>
    <row r="76" spans="1:8" ht="18" customHeight="1">
      <c r="A76" s="4"/>
      <c r="B76" s="892"/>
      <c r="C76" s="335"/>
      <c r="D76" s="336"/>
      <c r="E76" s="897"/>
      <c r="F76" s="898"/>
      <c r="G76" s="899"/>
      <c r="H76" s="858"/>
    </row>
    <row r="77" spans="1:8" ht="18" customHeight="1">
      <c r="A77" s="4"/>
      <c r="B77" s="892"/>
      <c r="C77" s="335"/>
      <c r="D77" s="336"/>
      <c r="E77" s="897"/>
      <c r="F77" s="898"/>
      <c r="G77" s="899"/>
      <c r="H77" s="858"/>
    </row>
    <row r="78" spans="1:8" ht="18" customHeight="1">
      <c r="A78" s="4"/>
      <c r="B78" s="892"/>
      <c r="C78" s="335"/>
      <c r="D78" s="336"/>
      <c r="E78" s="897"/>
      <c r="F78" s="898"/>
      <c r="G78" s="899"/>
      <c r="H78" s="858"/>
    </row>
    <row r="79" spans="1:8" ht="18" customHeight="1">
      <c r="A79" s="4"/>
      <c r="B79" s="892"/>
      <c r="C79" s="335"/>
      <c r="D79" s="336"/>
      <c r="E79" s="897"/>
      <c r="F79" s="898"/>
      <c r="G79" s="899"/>
      <c r="H79" s="858"/>
    </row>
    <row r="80" spans="1:8" ht="18" customHeight="1" thickBot="1">
      <c r="A80" s="4"/>
      <c r="B80" s="893"/>
      <c r="C80" s="346" t="s">
        <v>303</v>
      </c>
      <c r="D80" s="347">
        <f>SUM(D67:D79)</f>
        <v>31000</v>
      </c>
      <c r="E80" s="900"/>
      <c r="F80" s="901"/>
      <c r="G80" s="902"/>
      <c r="H80" s="858"/>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112" priority="3">
      <formula>C48&gt;A48</formula>
    </cfRule>
  </conditionalFormatting>
  <conditionalFormatting sqref="D42">
    <cfRule type="expression" dxfId="111" priority="2">
      <formula>C42&gt;A42</formula>
    </cfRule>
  </conditionalFormatting>
  <conditionalFormatting sqref="D38">
    <cfRule type="expression" dxfId="11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7"/>
  <sheetViews>
    <sheetView view="pageBreakPreview" topLeftCell="A4" zoomScale="80" zoomScaleNormal="70" zoomScaleSheetLayoutView="80" workbookViewId="0">
      <selection activeCell="I16" sqref="I1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1" t="s">
        <v>241</v>
      </c>
      <c r="C1" s="912"/>
      <c r="D1" s="912"/>
      <c r="E1" s="912"/>
      <c r="F1" s="912"/>
      <c r="G1" s="912"/>
      <c r="H1" s="912"/>
      <c r="I1" s="912"/>
      <c r="J1" s="912"/>
      <c r="K1" s="912"/>
      <c r="L1" s="912"/>
      <c r="M1" s="912"/>
      <c r="N1" s="913"/>
      <c r="O1" s="128" t="s">
        <v>204</v>
      </c>
    </row>
    <row r="2" spans="1:15" ht="9" customHeight="1" thickBot="1">
      <c r="A2" s="5"/>
      <c r="B2" s="907"/>
      <c r="C2" s="908"/>
      <c r="D2" s="908"/>
      <c r="E2" s="908"/>
      <c r="F2" s="908"/>
      <c r="G2" s="908"/>
      <c r="H2" s="908"/>
      <c r="I2" s="908"/>
      <c r="J2" s="909"/>
      <c r="K2" s="908"/>
      <c r="L2" s="908"/>
      <c r="M2" s="908"/>
      <c r="N2" s="910"/>
      <c r="O2" s="389"/>
    </row>
    <row r="3" spans="1:15" ht="28.5" customHeight="1" thickBot="1">
      <c r="A3" s="5"/>
      <c r="B3" s="905" t="s">
        <v>64</v>
      </c>
      <c r="C3" s="894"/>
      <c r="D3" s="894"/>
      <c r="E3" s="894"/>
      <c r="F3" s="894"/>
      <c r="G3" s="894"/>
      <c r="H3" s="894"/>
      <c r="I3" s="894"/>
      <c r="J3" s="906"/>
      <c r="K3" s="894"/>
      <c r="L3" s="894"/>
      <c r="M3" s="894"/>
      <c r="N3" s="895"/>
      <c r="O3" s="127" t="s">
        <v>281</v>
      </c>
    </row>
    <row r="4" spans="1:15" ht="30" customHeight="1" thickBot="1">
      <c r="A4" s="5"/>
      <c r="B4" s="390" t="s">
        <v>65</v>
      </c>
      <c r="C4" s="60">
        <v>1</v>
      </c>
      <c r="D4" s="60">
        <v>2</v>
      </c>
      <c r="E4" s="61">
        <v>3</v>
      </c>
      <c r="F4" s="59">
        <v>4</v>
      </c>
      <c r="G4" s="32">
        <v>5</v>
      </c>
      <c r="H4" s="32">
        <v>6</v>
      </c>
      <c r="I4" s="33">
        <v>7</v>
      </c>
      <c r="J4" s="33">
        <v>8</v>
      </c>
      <c r="K4" s="33">
        <v>9</v>
      </c>
      <c r="L4" s="33">
        <v>10</v>
      </c>
      <c r="M4" s="32">
        <v>11</v>
      </c>
      <c r="N4" s="391">
        <v>12</v>
      </c>
      <c r="O4" s="825" t="s">
        <v>403</v>
      </c>
    </row>
    <row r="5" spans="1:15" ht="27" customHeight="1" thickBot="1">
      <c r="A5" s="5"/>
      <c r="B5" s="392" t="s">
        <v>326</v>
      </c>
      <c r="C5" s="158" t="s">
        <v>167</v>
      </c>
      <c r="D5" s="158" t="s">
        <v>169</v>
      </c>
      <c r="E5" s="158" t="s">
        <v>174</v>
      </c>
      <c r="F5" s="158" t="s">
        <v>613</v>
      </c>
      <c r="G5" s="158" t="s">
        <v>177</v>
      </c>
      <c r="H5" s="158" t="s">
        <v>181</v>
      </c>
      <c r="I5" s="159" t="s">
        <v>183</v>
      </c>
      <c r="J5" s="159" t="s">
        <v>185</v>
      </c>
      <c r="K5" s="159" t="s">
        <v>614</v>
      </c>
      <c r="L5" s="159" t="s">
        <v>615</v>
      </c>
      <c r="M5" s="158" t="s">
        <v>616</v>
      </c>
      <c r="N5" s="393" t="s">
        <v>617</v>
      </c>
      <c r="O5" s="826"/>
    </row>
    <row r="6" spans="1:15" ht="33" customHeight="1" thickBot="1">
      <c r="A6" s="5"/>
      <c r="B6" s="399" t="s">
        <v>624</v>
      </c>
      <c r="C6" s="400" t="s">
        <v>327</v>
      </c>
      <c r="D6" s="400"/>
      <c r="E6" s="400"/>
      <c r="F6" s="400"/>
      <c r="G6" s="400"/>
      <c r="H6" s="400"/>
      <c r="I6" s="400"/>
      <c r="J6" s="400"/>
      <c r="K6" s="400"/>
      <c r="L6" s="400"/>
      <c r="M6" s="400"/>
      <c r="N6" s="401"/>
      <c r="O6" s="826"/>
    </row>
    <row r="7" spans="1:15" ht="33" customHeight="1" thickBot="1">
      <c r="A7" s="5"/>
      <c r="B7" s="718" t="s">
        <v>695</v>
      </c>
      <c r="C7" s="400" t="s">
        <v>327</v>
      </c>
      <c r="D7" s="400"/>
      <c r="E7" s="400"/>
      <c r="F7" s="719"/>
      <c r="G7" s="719"/>
      <c r="H7" s="719"/>
      <c r="I7" s="719"/>
      <c r="J7" s="719"/>
      <c r="K7" s="719"/>
      <c r="L7" s="719"/>
      <c r="M7" s="719"/>
      <c r="N7" s="720"/>
      <c r="O7" s="826"/>
    </row>
    <row r="8" spans="1:15" ht="33" customHeight="1">
      <c r="A8" s="5"/>
      <c r="B8" s="394" t="s">
        <v>625</v>
      </c>
      <c r="C8" s="400" t="s">
        <v>327</v>
      </c>
      <c r="D8" s="400"/>
      <c r="E8" s="400"/>
      <c r="F8" s="402"/>
      <c r="G8" s="402"/>
      <c r="H8" s="402"/>
      <c r="I8" s="402"/>
      <c r="J8" s="402"/>
      <c r="K8" s="402"/>
      <c r="L8" s="402"/>
      <c r="M8" s="402"/>
      <c r="N8" s="403"/>
      <c r="O8" s="826"/>
    </row>
    <row r="9" spans="1:15" ht="33" customHeight="1">
      <c r="A9" s="5"/>
      <c r="B9" s="394" t="s">
        <v>626</v>
      </c>
      <c r="C9" s="402" t="s">
        <v>327</v>
      </c>
      <c r="D9" s="402" t="s">
        <v>327</v>
      </c>
      <c r="E9" s="402" t="s">
        <v>327</v>
      </c>
      <c r="F9" s="402" t="s">
        <v>327</v>
      </c>
      <c r="G9" s="402" t="s">
        <v>327</v>
      </c>
      <c r="H9" s="402" t="s">
        <v>327</v>
      </c>
      <c r="I9" s="402" t="s">
        <v>327</v>
      </c>
      <c r="J9" s="402" t="s">
        <v>327</v>
      </c>
      <c r="K9" s="402" t="s">
        <v>327</v>
      </c>
      <c r="L9" s="402" t="s">
        <v>327</v>
      </c>
      <c r="M9" s="402" t="s">
        <v>327</v>
      </c>
      <c r="N9" s="403" t="s">
        <v>327</v>
      </c>
      <c r="O9" s="826"/>
    </row>
    <row r="10" spans="1:15" ht="33" customHeight="1">
      <c r="A10" s="5"/>
      <c r="B10" s="395" t="s">
        <v>627</v>
      </c>
      <c r="C10" s="402"/>
      <c r="D10" s="402" t="s">
        <v>327</v>
      </c>
      <c r="E10" s="402" t="s">
        <v>327</v>
      </c>
      <c r="F10" s="402" t="s">
        <v>327</v>
      </c>
      <c r="G10" s="402" t="s">
        <v>327</v>
      </c>
      <c r="H10" s="402" t="s">
        <v>327</v>
      </c>
      <c r="I10" s="402" t="s">
        <v>327</v>
      </c>
      <c r="J10" s="402" t="s">
        <v>327</v>
      </c>
      <c r="K10" s="402" t="s">
        <v>327</v>
      </c>
      <c r="L10" s="402" t="s">
        <v>327</v>
      </c>
      <c r="M10" s="402" t="s">
        <v>327</v>
      </c>
      <c r="N10" s="403" t="s">
        <v>327</v>
      </c>
      <c r="O10" s="826"/>
    </row>
    <row r="11" spans="1:15" ht="33" customHeight="1">
      <c r="A11" s="5"/>
      <c r="B11" s="394" t="s">
        <v>628</v>
      </c>
      <c r="C11" s="402" t="s">
        <v>327</v>
      </c>
      <c r="D11" s="402"/>
      <c r="E11" s="402"/>
      <c r="F11" s="402"/>
      <c r="G11" s="402"/>
      <c r="H11" s="402"/>
      <c r="I11" s="402"/>
      <c r="J11" s="402"/>
      <c r="K11" s="402"/>
      <c r="L11" s="402"/>
      <c r="M11" s="402"/>
      <c r="N11" s="403"/>
      <c r="O11" s="826"/>
    </row>
    <row r="12" spans="1:15" ht="33" customHeight="1">
      <c r="A12" s="5"/>
      <c r="B12" s="394" t="s">
        <v>696</v>
      </c>
      <c r="C12" s="402" t="s">
        <v>327</v>
      </c>
      <c r="D12" s="402" t="s">
        <v>327</v>
      </c>
      <c r="E12" s="402" t="s">
        <v>327</v>
      </c>
      <c r="F12" s="402" t="s">
        <v>327</v>
      </c>
      <c r="G12" s="402" t="s">
        <v>327</v>
      </c>
      <c r="H12" s="402" t="s">
        <v>327</v>
      </c>
      <c r="I12" s="402" t="s">
        <v>327</v>
      </c>
      <c r="J12" s="402" t="s">
        <v>327</v>
      </c>
      <c r="K12" s="402" t="s">
        <v>327</v>
      </c>
      <c r="L12" s="402" t="s">
        <v>327</v>
      </c>
      <c r="M12" s="402" t="s">
        <v>327</v>
      </c>
      <c r="N12" s="403" t="s">
        <v>327</v>
      </c>
      <c r="O12" s="826"/>
    </row>
    <row r="13" spans="1:15" ht="33" customHeight="1">
      <c r="A13" s="5"/>
      <c r="B13" s="394" t="s">
        <v>697</v>
      </c>
      <c r="C13" s="402" t="s">
        <v>327</v>
      </c>
      <c r="D13" s="402"/>
      <c r="E13" s="402"/>
      <c r="F13" s="402"/>
      <c r="G13" s="402"/>
      <c r="H13" s="402"/>
      <c r="I13" s="402"/>
      <c r="J13" s="402"/>
      <c r="K13" s="402"/>
      <c r="L13" s="402"/>
      <c r="M13" s="402"/>
      <c r="N13" s="403"/>
      <c r="O13" s="826"/>
    </row>
    <row r="14" spans="1:15" ht="33" customHeight="1">
      <c r="A14" s="5"/>
      <c r="B14" s="394" t="s">
        <v>698</v>
      </c>
      <c r="C14" s="402"/>
      <c r="D14" s="402"/>
      <c r="E14" s="402"/>
      <c r="F14" s="402" t="s">
        <v>327</v>
      </c>
      <c r="G14" s="402"/>
      <c r="H14" s="402"/>
      <c r="I14" s="402"/>
      <c r="J14" s="402"/>
      <c r="K14" s="402"/>
      <c r="L14" s="402"/>
      <c r="M14" s="402"/>
      <c r="N14" s="403"/>
      <c r="O14" s="826"/>
    </row>
    <row r="15" spans="1:15" ht="33" customHeight="1">
      <c r="A15" s="5"/>
      <c r="B15" s="394" t="s">
        <v>699</v>
      </c>
      <c r="C15" s="402" t="s">
        <v>327</v>
      </c>
      <c r="D15" s="402"/>
      <c r="E15" s="402"/>
      <c r="F15" s="402"/>
      <c r="G15" s="402"/>
      <c r="H15" s="402"/>
      <c r="I15" s="402"/>
      <c r="J15" s="402"/>
      <c r="K15" s="402"/>
      <c r="L15" s="402"/>
      <c r="M15" s="402"/>
      <c r="N15" s="403"/>
      <c r="O15" s="826"/>
    </row>
    <row r="16" spans="1:15" ht="33" customHeight="1">
      <c r="A16" s="5"/>
      <c r="B16" s="394" t="s">
        <v>700</v>
      </c>
      <c r="C16" s="402"/>
      <c r="D16" s="402"/>
      <c r="E16" s="402"/>
      <c r="F16" s="402"/>
      <c r="G16" s="402"/>
      <c r="H16" s="402"/>
      <c r="I16" s="402" t="s">
        <v>327</v>
      </c>
      <c r="J16" s="402"/>
      <c r="K16" s="402"/>
      <c r="L16" s="402"/>
      <c r="M16" s="402"/>
      <c r="N16" s="403"/>
      <c r="O16" s="826"/>
    </row>
    <row r="17" spans="1:15" ht="33" customHeight="1">
      <c r="A17" s="5"/>
      <c r="B17" s="394" t="s">
        <v>171</v>
      </c>
      <c r="C17" s="402"/>
      <c r="D17" s="402"/>
      <c r="E17" s="402"/>
      <c r="F17" s="402"/>
      <c r="G17" s="402"/>
      <c r="H17" s="402"/>
      <c r="I17" s="402" t="s">
        <v>327</v>
      </c>
      <c r="J17" s="402"/>
      <c r="K17" s="402"/>
      <c r="L17" s="402"/>
      <c r="M17" s="402"/>
      <c r="N17" s="403"/>
      <c r="O17" s="826"/>
    </row>
    <row r="18" spans="1:15" ht="33" customHeight="1" thickBot="1">
      <c r="A18" s="5"/>
      <c r="B18" s="396" t="s">
        <v>220</v>
      </c>
      <c r="C18" s="397"/>
      <c r="D18" s="397"/>
      <c r="E18" s="397"/>
      <c r="F18" s="397"/>
      <c r="G18" s="397"/>
      <c r="H18" s="397"/>
      <c r="I18" s="397"/>
      <c r="J18" s="397"/>
      <c r="K18" s="397"/>
      <c r="L18" s="397"/>
      <c r="M18" s="397"/>
      <c r="N18" s="398"/>
      <c r="O18" s="827"/>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2018-04-03T13:16:47Z</cp:lastPrinted>
  <dcterms:created xsi:type="dcterms:W3CDTF">2015-11-18T05:15:47Z</dcterms:created>
  <dcterms:modified xsi:type="dcterms:W3CDTF">2018-04-03T15:48:05Z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